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53.xml" ContentType="application/vnd.ms-excel.controlproperties+xml"/>
  <Override PartName="/xl/ctrlProps/ctrlProp5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C:\Users\Owner\Desktop\takasaki-kurabu\"/>
    </mc:Choice>
  </mc:AlternateContent>
  <xr:revisionPtr revIDLastSave="0" documentId="8_{FD61FB25-038D-4451-A1B9-8F22C0A4B3CA}" xr6:coauthVersionLast="47" xr6:coauthVersionMax="47" xr10:uidLastSave="{00000000-0000-0000-0000-000000000000}"/>
  <bookViews>
    <workbookView xWindow="-120" yWindow="-120" windowWidth="29040" windowHeight="15720" tabRatio="827" xr2:uid="{00000000-000D-0000-FFFF-FFFF00000000}"/>
  </bookViews>
  <sheets>
    <sheet name="シート①入力画面" sheetId="3" r:id="rId1"/>
    <sheet name="シート②組合せ表" sheetId="14" r:id="rId2"/>
    <sheet name="シート③クラブ提出用組合せ表" sheetId="9" r:id="rId3"/>
    <sheet name="シート④スコア記入依頼用紙" sheetId="11" r:id="rId4"/>
    <sheet name="シート⑤成績表" sheetId="7" r:id="rId5"/>
    <sheet name="集計" sheetId="6" state="hidden" r:id="rId6"/>
    <sheet name="組合せﾃﾞｰﾀ" sheetId="12" state="hidden" r:id="rId7"/>
    <sheet name="interface" sheetId="15" state="hidden" r:id="rId8"/>
    <sheet name="名簿ﾘｽﾄ" sheetId="17" r:id="rId9"/>
    <sheet name="⑥循環参照可能化" sheetId="18" r:id="rId10"/>
    <sheet name="ｴｸｾﾙの構成" sheetId="16" r:id="rId11"/>
  </sheets>
  <definedNames>
    <definedName name="○氏名ﾘｽﾄ">シート①入力画面!$BE$70:$BF$135</definedName>
    <definedName name="○通常ﾗﾝﾀﾞﾑ">シート①入力画面!$BI$70:$BI$109</definedName>
    <definedName name="○年齢順">シート①入力画面!$BL$70:$BL$109</definedName>
    <definedName name="_xlnm.Print_Area" localSheetId="0">シート①入力画面!$AY$1:$CB$132</definedName>
    <definedName name="_xlnm.Print_Area" localSheetId="3">シート④スコア記入依頼用紙!$D$14:$I$50</definedName>
    <definedName name="五十音順">シート①入力画面!$AY$70:$AZ$109</definedName>
    <definedName name="全員ﾘｽﾄ">シート①入力画面!$BO$70:$BP$124</definedName>
  </definedNames>
  <calcPr calcId="191029" iterate="1"/>
</workbook>
</file>

<file path=xl/calcChain.xml><?xml version="1.0" encoding="utf-8"?>
<calcChain xmlns="http://schemas.openxmlformats.org/spreadsheetml/2006/main">
  <c r="B75" i="7" l="1"/>
  <c r="B74" i="7"/>
  <c r="D25" i="14"/>
  <c r="I17" i="15" s="1"/>
  <c r="D24" i="14"/>
  <c r="I16" i="15" s="1"/>
  <c r="C25" i="14"/>
  <c r="H17" i="15" s="1"/>
  <c r="C24" i="14"/>
  <c r="H16" i="15" s="1"/>
  <c r="CM35" i="3"/>
  <c r="CL35" i="3"/>
  <c r="CK35" i="3"/>
  <c r="CJ35" i="3"/>
  <c r="CM33" i="3"/>
  <c r="CL33" i="3"/>
  <c r="CK33" i="3"/>
  <c r="CJ33" i="3"/>
  <c r="CM61" i="3"/>
  <c r="CL61" i="3"/>
  <c r="CK61" i="3"/>
  <c r="CJ61" i="3"/>
  <c r="CM59" i="3"/>
  <c r="CL59" i="3"/>
  <c r="CJ59" i="3"/>
  <c r="CK59" i="3"/>
  <c r="E49" i="11"/>
  <c r="E46" i="11"/>
  <c r="D49" i="11"/>
  <c r="D46" i="11"/>
  <c r="D38" i="9"/>
  <c r="C38" i="9"/>
  <c r="D36" i="9"/>
  <c r="C36" i="9"/>
  <c r="BV117" i="3"/>
  <c r="BV116" i="3"/>
  <c r="BV115" i="3"/>
  <c r="BV114" i="3"/>
  <c r="BV113" i="3"/>
  <c r="BV112" i="3"/>
  <c r="BV111" i="3"/>
  <c r="BV110" i="3"/>
  <c r="CH34" i="3"/>
  <c r="CG34" i="3"/>
  <c r="CF34" i="3"/>
  <c r="CE34" i="3"/>
  <c r="CH32" i="3"/>
  <c r="CG32" i="3"/>
  <c r="CF32" i="3"/>
  <c r="CE32" i="3"/>
  <c r="U17" i="3"/>
  <c r="U16" i="3"/>
  <c r="U21" i="3"/>
  <c r="U20" i="3"/>
  <c r="CT9" i="3"/>
  <c r="D75" i="15"/>
  <c r="Y7" i="7"/>
  <c r="AT63" i="3"/>
  <c r="AT62" i="3"/>
  <c r="AT61" i="3"/>
  <c r="U19" i="3"/>
  <c r="U18" i="3"/>
  <c r="Y2"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CN35" i="3" l="1"/>
  <c r="CN33" i="3"/>
  <c r="CN61" i="3"/>
  <c r="CN59" i="3"/>
  <c r="J78" i="7"/>
  <c r="F77" i="7"/>
  <c r="F79" i="7" s="1"/>
  <c r="H78" i="7"/>
  <c r="O77" i="7"/>
  <c r="O79" i="7" s="1"/>
  <c r="F76" i="7"/>
  <c r="K77" i="7"/>
  <c r="K79" i="7" s="1"/>
  <c r="G78" i="7"/>
  <c r="F78" i="7"/>
  <c r="J77" i="7"/>
  <c r="J79" i="7" s="1"/>
  <c r="H77" i="7"/>
  <c r="H79" i="7" s="1"/>
  <c r="I78" i="7"/>
  <c r="G77" i="7"/>
  <c r="G79" i="7" s="1"/>
  <c r="J76" i="7"/>
  <c r="H76" i="7"/>
  <c r="G76" i="7"/>
  <c r="I77" i="7"/>
  <c r="I79" i="7" s="1"/>
  <c r="I76" i="7"/>
  <c r="S77" i="7"/>
  <c r="S79" i="7" s="1"/>
  <c r="W77" i="7"/>
  <c r="W79" i="7" s="1"/>
  <c r="R76" i="7"/>
  <c r="M78" i="7"/>
  <c r="U78" i="7"/>
  <c r="L78" i="7"/>
  <c r="P78" i="7"/>
  <c r="T78" i="7"/>
  <c r="N76" i="7"/>
  <c r="V76" i="7"/>
  <c r="Q78" i="7"/>
  <c r="M76" i="7"/>
  <c r="Q76" i="7"/>
  <c r="U76" i="7"/>
  <c r="N77" i="7"/>
  <c r="N79" i="7" s="1"/>
  <c r="R77" i="7"/>
  <c r="R79" i="7" s="1"/>
  <c r="V77" i="7"/>
  <c r="V79" i="7" s="1"/>
  <c r="K78" i="7"/>
  <c r="O78" i="7"/>
  <c r="S78" i="7"/>
  <c r="W78" i="7"/>
  <c r="L76" i="7"/>
  <c r="P76" i="7"/>
  <c r="T76" i="7"/>
  <c r="M77" i="7"/>
  <c r="M79" i="7" s="1"/>
  <c r="Q77" i="7"/>
  <c r="Q79" i="7" s="1"/>
  <c r="U77" i="7"/>
  <c r="U79" i="7" s="1"/>
  <c r="N78" i="7"/>
  <c r="R78" i="7"/>
  <c r="V78" i="7"/>
  <c r="K76" i="7"/>
  <c r="O76" i="7"/>
  <c r="S76" i="7"/>
  <c r="W76" i="7"/>
  <c r="L77" i="7"/>
  <c r="L79" i="7" s="1"/>
  <c r="P77" i="7"/>
  <c r="P79" i="7" s="1"/>
  <c r="T77" i="7"/>
  <c r="T79" i="7" s="1"/>
  <c r="CK17" i="3"/>
  <c r="CO13" i="3"/>
  <c r="CO14" i="3" s="1"/>
  <c r="CO15" i="3" s="1"/>
  <c r="CO16" i="3" s="1"/>
  <c r="CO17" i="3" s="1"/>
  <c r="CO18" i="3" s="1"/>
  <c r="CO19" i="3" s="1"/>
  <c r="CO20" i="3" s="1"/>
  <c r="CO21" i="3" s="1"/>
  <c r="CO22" i="3" s="1"/>
  <c r="CO23" i="3" s="1"/>
  <c r="CO24" i="3" s="1"/>
  <c r="CO25" i="3" s="1"/>
  <c r="CO26" i="3" s="1"/>
  <c r="CO27" i="3" s="1"/>
  <c r="CO28" i="3" s="1"/>
  <c r="CO29" i="3" s="1"/>
  <c r="CO30" i="3" s="1"/>
  <c r="CO31" i="3" s="1"/>
  <c r="CO32" i="3" s="1"/>
  <c r="CO33" i="3" s="1"/>
  <c r="CO34" i="3" s="1"/>
  <c r="CO35" i="3" s="1"/>
  <c r="CO36" i="3" s="1"/>
  <c r="CO37" i="3" s="1"/>
  <c r="CO38" i="3" s="1"/>
  <c r="CO39" i="3" s="1"/>
  <c r="CO40" i="3" s="1"/>
  <c r="CO41" i="3" s="1"/>
  <c r="CO42" i="3" s="1"/>
  <c r="CO43" i="3" s="1"/>
  <c r="CO44" i="3" s="1"/>
  <c r="CO45" i="3" s="1"/>
  <c r="CO46" i="3" s="1"/>
  <c r="CO47" i="3" s="1"/>
  <c r="CO48" i="3" s="1"/>
  <c r="CO49" i="3" s="1"/>
  <c r="CO50" i="3" s="1"/>
  <c r="CO51" i="3" s="1"/>
  <c r="CO52" i="3" s="1"/>
  <c r="CO53" i="3" s="1"/>
  <c r="CO54" i="3" s="1"/>
  <c r="CO55" i="3" s="1"/>
  <c r="CO56" i="3" s="1"/>
  <c r="CO57" i="3" s="1"/>
  <c r="CO58" i="3" s="1"/>
  <c r="CO59" i="3" s="1"/>
  <c r="CJ39" i="3"/>
  <c r="CK39" i="3"/>
  <c r="CL39" i="3"/>
  <c r="CM39" i="3"/>
  <c r="CJ41" i="3"/>
  <c r="CK41" i="3"/>
  <c r="CL41" i="3"/>
  <c r="CM41" i="3"/>
  <c r="CM43" i="3"/>
  <c r="CL43" i="3"/>
  <c r="CK43" i="3"/>
  <c r="CM57" i="3"/>
  <c r="CL57" i="3"/>
  <c r="CK57" i="3"/>
  <c r="CJ57" i="3"/>
  <c r="CM55" i="3"/>
  <c r="CL55" i="3"/>
  <c r="CK55" i="3"/>
  <c r="CJ55" i="3"/>
  <c r="CM53" i="3"/>
  <c r="CL53" i="3"/>
  <c r="CK53" i="3"/>
  <c r="CJ53" i="3"/>
  <c r="CM51" i="3"/>
  <c r="CL51" i="3"/>
  <c r="CK51" i="3"/>
  <c r="CJ51" i="3"/>
  <c r="CM49" i="3"/>
  <c r="CL49" i="3"/>
  <c r="CK49" i="3"/>
  <c r="CJ49" i="3"/>
  <c r="CM47" i="3"/>
  <c r="CL47" i="3"/>
  <c r="CK47" i="3"/>
  <c r="CJ47" i="3"/>
  <c r="CM45" i="3"/>
  <c r="CL45" i="3"/>
  <c r="CK45" i="3"/>
  <c r="CJ45" i="3"/>
  <c r="CJ43" i="3"/>
  <c r="P70" i="12"/>
  <c r="P69" i="12"/>
  <c r="P68" i="12"/>
  <c r="P67" i="12"/>
  <c r="P66" i="12"/>
  <c r="BF136" i="3"/>
  <c r="BG136" i="3" s="1"/>
  <c r="H82" i="7" l="1" a="1"/>
  <c r="H82" i="7" s="1"/>
  <c r="H81" i="7" a="1"/>
  <c r="H81" i="7" s="1"/>
  <c r="M82" i="7" a="1"/>
  <c r="M82" i="7" s="1"/>
  <c r="M81" i="7" a="1"/>
  <c r="M81" i="7" s="1"/>
  <c r="V81" i="7" a="1"/>
  <c r="V81" i="7" s="1"/>
  <c r="V82" i="7" a="1"/>
  <c r="V82" i="7" s="1"/>
  <c r="V80" i="7" a="1"/>
  <c r="V80" i="7" s="1"/>
  <c r="V84" i="7" s="1"/>
  <c r="Q82" i="7" a="1"/>
  <c r="Q82" i="7" s="1"/>
  <c r="Q80" i="7" a="1"/>
  <c r="Q80" i="7" s="1"/>
  <c r="Q83" i="7" s="1"/>
  <c r="Q81" i="7" a="1"/>
  <c r="Q81" i="7" s="1"/>
  <c r="I82" i="7" a="1"/>
  <c r="I82" i="7" s="1"/>
  <c r="G82" i="7" a="1"/>
  <c r="G82" i="7" s="1"/>
  <c r="O81" i="7" a="1"/>
  <c r="O81" i="7" s="1"/>
  <c r="O82" i="7" a="1"/>
  <c r="O82" i="7" s="1"/>
  <c r="O80" i="7" a="1"/>
  <c r="O80" i="7" s="1"/>
  <c r="O86" i="7" s="1"/>
  <c r="L82" i="7" a="1"/>
  <c r="L82" i="7" s="1"/>
  <c r="L81" i="7" a="1"/>
  <c r="L81" i="7" s="1"/>
  <c r="U82" i="7" a="1"/>
  <c r="U82" i="7" s="1"/>
  <c r="U80" i="7" a="1"/>
  <c r="U80" i="7" s="1"/>
  <c r="U85" i="7" s="1"/>
  <c r="U81" i="7" a="1"/>
  <c r="U81" i="7" s="1"/>
  <c r="N81" i="7" a="1"/>
  <c r="N81" i="7" s="1"/>
  <c r="N82" i="7" a="1"/>
  <c r="N82" i="7" s="1"/>
  <c r="J81" i="7" a="1"/>
  <c r="J81" i="7" s="1"/>
  <c r="J82" i="7" a="1"/>
  <c r="J82" i="7" s="1"/>
  <c r="R81" i="7" a="1"/>
  <c r="R81" i="7" s="1"/>
  <c r="R82" i="7" a="1"/>
  <c r="R82" i="7" s="1"/>
  <c r="R80" i="7" a="1"/>
  <c r="R80" i="7" s="1"/>
  <c r="R84" i="7" s="1"/>
  <c r="S81" i="7" a="1"/>
  <c r="S81" i="7" s="1"/>
  <c r="S82" i="7" a="1"/>
  <c r="S82" i="7" s="1"/>
  <c r="S80" i="7" a="1"/>
  <c r="S80" i="7" s="1"/>
  <c r="K81" i="7" a="1"/>
  <c r="K81" i="7" s="1"/>
  <c r="K82" i="7" a="1"/>
  <c r="K82" i="7" s="1"/>
  <c r="F81" i="7" a="1"/>
  <c r="F81" i="7" s="1"/>
  <c r="F82" i="7" a="1"/>
  <c r="F82" i="7" s="1"/>
  <c r="P82" i="7" a="1"/>
  <c r="P82" i="7" s="1"/>
  <c r="P80" i="7" a="1"/>
  <c r="P80" i="7" s="1"/>
  <c r="P83" i="7" s="1"/>
  <c r="P81" i="7" a="1"/>
  <c r="P81" i="7" s="1"/>
  <c r="T82" i="7" a="1"/>
  <c r="T82" i="7" s="1"/>
  <c r="T80" i="7" a="1"/>
  <c r="T80" i="7" s="1"/>
  <c r="T84" i="7" s="1"/>
  <c r="T81" i="7" a="1"/>
  <c r="T81" i="7" s="1"/>
  <c r="W81" i="7" a="1"/>
  <c r="W81" i="7" s="1"/>
  <c r="W82" i="7" a="1"/>
  <c r="W82" i="7" s="1"/>
  <c r="W80" i="7" a="1"/>
  <c r="W80" i="7" s="1"/>
  <c r="CN47" i="3"/>
  <c r="CN49" i="3"/>
  <c r="CN51" i="3"/>
  <c r="CN53" i="3"/>
  <c r="CN55" i="3"/>
  <c r="CN57" i="3"/>
  <c r="CN45" i="3"/>
  <c r="CN43" i="3"/>
  <c r="CN41" i="3"/>
  <c r="CN39" i="3"/>
  <c r="E68" i="6"/>
  <c r="D68" i="6"/>
  <c r="C68" i="6"/>
  <c r="B68" i="6"/>
  <c r="K46" i="3" s="1"/>
  <c r="E67" i="6"/>
  <c r="D67" i="6"/>
  <c r="C67" i="6"/>
  <c r="B67" i="6"/>
  <c r="K45" i="3" s="1"/>
  <c r="E66" i="6"/>
  <c r="D66" i="6"/>
  <c r="C66" i="6"/>
  <c r="B66" i="6"/>
  <c r="E65" i="6"/>
  <c r="D65" i="6"/>
  <c r="C65" i="6"/>
  <c r="B65" i="6"/>
  <c r="K43" i="3" s="1"/>
  <c r="E64" i="6"/>
  <c r="D64" i="6"/>
  <c r="C64" i="6"/>
  <c r="B64" i="6"/>
  <c r="M63" i="6" s="1"/>
  <c r="E63" i="6"/>
  <c r="D63" i="6"/>
  <c r="C63" i="6"/>
  <c r="B63" i="6"/>
  <c r="K41" i="3" s="1"/>
  <c r="E62" i="6"/>
  <c r="D62" i="6"/>
  <c r="C62" i="6"/>
  <c r="B62" i="6"/>
  <c r="E61" i="6"/>
  <c r="D61" i="6"/>
  <c r="C61" i="6"/>
  <c r="B61" i="6"/>
  <c r="M60" i="6" s="1"/>
  <c r="E60" i="6"/>
  <c r="D60" i="6"/>
  <c r="C60" i="6"/>
  <c r="B60" i="6"/>
  <c r="K38" i="3" s="1"/>
  <c r="E59" i="6"/>
  <c r="D59" i="6"/>
  <c r="C59" i="6"/>
  <c r="B59" i="6"/>
  <c r="K37" i="3" s="1"/>
  <c r="E58" i="6"/>
  <c r="D58" i="6"/>
  <c r="C58" i="6"/>
  <c r="B58" i="6"/>
  <c r="K36" i="3" s="1"/>
  <c r="E57" i="6"/>
  <c r="D57" i="6"/>
  <c r="C57" i="6"/>
  <c r="B57" i="6"/>
  <c r="K35" i="3" s="1"/>
  <c r="E56" i="6"/>
  <c r="D56" i="6"/>
  <c r="C56" i="6"/>
  <c r="B56" i="6"/>
  <c r="K34" i="3" s="1"/>
  <c r="E55" i="6"/>
  <c r="D55" i="6"/>
  <c r="C55" i="6"/>
  <c r="B55" i="6"/>
  <c r="K33" i="3" s="1"/>
  <c r="E54" i="6"/>
  <c r="D54" i="6"/>
  <c r="C54" i="6"/>
  <c r="B54" i="6"/>
  <c r="K32" i="3" s="1"/>
  <c r="E53" i="6"/>
  <c r="D53" i="6"/>
  <c r="C53" i="6"/>
  <c r="B53" i="6"/>
  <c r="K31" i="3" s="1"/>
  <c r="E52" i="6"/>
  <c r="D52" i="6"/>
  <c r="C52" i="6"/>
  <c r="B52" i="6"/>
  <c r="K30" i="3" s="1"/>
  <c r="E51" i="6"/>
  <c r="D51" i="6"/>
  <c r="C51" i="6"/>
  <c r="B51" i="6"/>
  <c r="K29" i="3" s="1"/>
  <c r="E50" i="6"/>
  <c r="D50" i="6"/>
  <c r="C50" i="6"/>
  <c r="B50" i="6"/>
  <c r="K28" i="3" s="1"/>
  <c r="E49" i="6"/>
  <c r="D49" i="6"/>
  <c r="C49" i="6"/>
  <c r="B49" i="6"/>
  <c r="K27" i="3" s="1"/>
  <c r="E48" i="6"/>
  <c r="D48" i="6"/>
  <c r="C48" i="6"/>
  <c r="B48" i="6"/>
  <c r="K26" i="3" s="1"/>
  <c r="E47" i="6"/>
  <c r="D47" i="6"/>
  <c r="C47" i="6"/>
  <c r="B47" i="6"/>
  <c r="I46" i="3" s="1"/>
  <c r="E46" i="6"/>
  <c r="D46" i="6"/>
  <c r="C46" i="6"/>
  <c r="B46" i="6"/>
  <c r="I45" i="3" s="1"/>
  <c r="E45" i="6"/>
  <c r="D45" i="6"/>
  <c r="C45" i="6"/>
  <c r="B45" i="6"/>
  <c r="I44" i="3" s="1"/>
  <c r="E44" i="6"/>
  <c r="D44" i="6"/>
  <c r="C44" i="6"/>
  <c r="B44" i="6"/>
  <c r="I43" i="3" s="1"/>
  <c r="E43" i="6"/>
  <c r="D43" i="6"/>
  <c r="C43" i="6"/>
  <c r="B43" i="6"/>
  <c r="I42" i="3" s="1"/>
  <c r="E42" i="6"/>
  <c r="D42" i="6"/>
  <c r="C42" i="6"/>
  <c r="B42" i="6"/>
  <c r="I41" i="3" s="1"/>
  <c r="E41" i="6"/>
  <c r="D41" i="6"/>
  <c r="C41" i="6"/>
  <c r="B41" i="6"/>
  <c r="I40" i="3" s="1"/>
  <c r="E40" i="6"/>
  <c r="D40" i="6"/>
  <c r="C40" i="6"/>
  <c r="B40" i="6"/>
  <c r="I39" i="3" s="1"/>
  <c r="E39" i="6"/>
  <c r="D39" i="6"/>
  <c r="C39" i="6"/>
  <c r="B39" i="6"/>
  <c r="I38" i="3" s="1"/>
  <c r="E38" i="6"/>
  <c r="D38" i="6"/>
  <c r="C38" i="6"/>
  <c r="B38" i="6"/>
  <c r="I37" i="3" s="1"/>
  <c r="E37" i="6"/>
  <c r="D37" i="6"/>
  <c r="C37" i="6"/>
  <c r="B37" i="6"/>
  <c r="I36" i="3" s="1"/>
  <c r="E36" i="6"/>
  <c r="D36" i="6"/>
  <c r="C36" i="6"/>
  <c r="B36" i="6"/>
  <c r="I35" i="3" s="1"/>
  <c r="E35" i="6"/>
  <c r="D35" i="6"/>
  <c r="C35" i="6"/>
  <c r="B35" i="6"/>
  <c r="I34" i="3" s="1"/>
  <c r="E34" i="6"/>
  <c r="D34" i="6"/>
  <c r="C34" i="6"/>
  <c r="B34" i="6"/>
  <c r="I33" i="3" s="1"/>
  <c r="E33" i="6"/>
  <c r="D33" i="6"/>
  <c r="C33" i="6"/>
  <c r="B33" i="6"/>
  <c r="I32" i="3" s="1"/>
  <c r="E32" i="6"/>
  <c r="D32" i="6"/>
  <c r="C32" i="6"/>
  <c r="B32" i="6"/>
  <c r="I31" i="3" s="1"/>
  <c r="E31" i="6"/>
  <c r="D31" i="6"/>
  <c r="C31" i="6"/>
  <c r="B31" i="6"/>
  <c r="I30" i="3" s="1"/>
  <c r="E30" i="6"/>
  <c r="D30" i="6"/>
  <c r="C30" i="6"/>
  <c r="B30" i="6"/>
  <c r="I29" i="3" s="1"/>
  <c r="E29" i="6"/>
  <c r="D29" i="6"/>
  <c r="C29" i="6"/>
  <c r="B29" i="6"/>
  <c r="I28" i="3" s="1"/>
  <c r="E28" i="6"/>
  <c r="D28" i="6"/>
  <c r="C28" i="6"/>
  <c r="B28" i="6"/>
  <c r="I27" i="3" s="1"/>
  <c r="E27" i="6"/>
  <c r="D27" i="6"/>
  <c r="C27" i="6"/>
  <c r="B27" i="6"/>
  <c r="I26" i="3" s="1"/>
  <c r="E26" i="6"/>
  <c r="D26" i="6"/>
  <c r="C26" i="6"/>
  <c r="B26" i="6"/>
  <c r="G46" i="3" s="1"/>
  <c r="E25" i="6"/>
  <c r="D25" i="6"/>
  <c r="C25" i="6"/>
  <c r="B25" i="6"/>
  <c r="G45" i="3" s="1"/>
  <c r="E24" i="6"/>
  <c r="D24" i="6"/>
  <c r="C24" i="6"/>
  <c r="B24" i="6"/>
  <c r="G44" i="3" s="1"/>
  <c r="E23" i="6"/>
  <c r="D23" i="6"/>
  <c r="C23" i="6"/>
  <c r="B23" i="6"/>
  <c r="G43" i="3" s="1"/>
  <c r="E22" i="6"/>
  <c r="D22" i="6"/>
  <c r="C22" i="6"/>
  <c r="B22" i="6"/>
  <c r="G42" i="3" s="1"/>
  <c r="E21" i="6"/>
  <c r="D21" i="6"/>
  <c r="C21" i="6"/>
  <c r="B21" i="6"/>
  <c r="G41" i="3" s="1"/>
  <c r="E20" i="6"/>
  <c r="D20" i="6"/>
  <c r="C20" i="6"/>
  <c r="B20" i="6"/>
  <c r="G40" i="3" s="1"/>
  <c r="E19" i="6"/>
  <c r="D19" i="6"/>
  <c r="C19" i="6"/>
  <c r="B19" i="6"/>
  <c r="G39" i="3" s="1"/>
  <c r="E18" i="6"/>
  <c r="D18" i="6"/>
  <c r="C18" i="6"/>
  <c r="B18" i="6"/>
  <c r="G38" i="3" s="1"/>
  <c r="E17" i="6"/>
  <c r="D17" i="6"/>
  <c r="C17" i="6"/>
  <c r="B17" i="6"/>
  <c r="G37" i="3" s="1"/>
  <c r="E16" i="6"/>
  <c r="D16" i="6"/>
  <c r="C16" i="6"/>
  <c r="B16" i="6"/>
  <c r="G36" i="3" s="1"/>
  <c r="E15" i="6"/>
  <c r="D15" i="6"/>
  <c r="C15" i="6"/>
  <c r="B15" i="6"/>
  <c r="G35" i="3" s="1"/>
  <c r="E14" i="6"/>
  <c r="D14" i="6"/>
  <c r="C14" i="6"/>
  <c r="B14" i="6"/>
  <c r="G34" i="3" s="1"/>
  <c r="E13" i="6"/>
  <c r="D13" i="6"/>
  <c r="C13" i="6"/>
  <c r="B13" i="6"/>
  <c r="G33" i="3" s="1"/>
  <c r="E12" i="6"/>
  <c r="D12" i="6"/>
  <c r="C12" i="6"/>
  <c r="B12" i="6"/>
  <c r="G32" i="3" s="1"/>
  <c r="E11" i="6"/>
  <c r="D11" i="6"/>
  <c r="C11" i="6"/>
  <c r="B11" i="6"/>
  <c r="G31" i="3" s="1"/>
  <c r="E10" i="6"/>
  <c r="D10" i="6"/>
  <c r="C10" i="6"/>
  <c r="B10" i="6"/>
  <c r="G30" i="3" s="1"/>
  <c r="E9" i="6"/>
  <c r="D9" i="6"/>
  <c r="C9" i="6"/>
  <c r="B9" i="6"/>
  <c r="G29" i="3" s="1"/>
  <c r="E8" i="6"/>
  <c r="D8" i="6"/>
  <c r="C8" i="6"/>
  <c r="B8" i="6"/>
  <c r="G28" i="3" s="1"/>
  <c r="E7" i="6"/>
  <c r="D7" i="6"/>
  <c r="C7" i="6"/>
  <c r="B7" i="6"/>
  <c r="D6" i="6"/>
  <c r="C6" i="6"/>
  <c r="B6" i="6"/>
  <c r="G26" i="3" s="1"/>
  <c r="E6"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C70" i="6"/>
  <c r="C69" i="6"/>
  <c r="B70" i="6"/>
  <c r="B69" i="6"/>
  <c r="E70" i="6"/>
  <c r="F70" i="6" s="1"/>
  <c r="D70" i="6"/>
  <c r="E69" i="6"/>
  <c r="F69" i="6" s="1"/>
  <c r="D69" i="6"/>
  <c r="C26" i="9"/>
  <c r="D80" i="15"/>
  <c r="D81" i="15"/>
  <c r="H24" i="15"/>
  <c r="H23" i="15"/>
  <c r="H22" i="15"/>
  <c r="D31" i="11"/>
  <c r="D16" i="11"/>
  <c r="C77" i="15"/>
  <c r="C76" i="15"/>
  <c r="P65" i="12"/>
  <c r="P64" i="12"/>
  <c r="P63" i="12"/>
  <c r="P62" i="12"/>
  <c r="P61" i="12"/>
  <c r="P60" i="12"/>
  <c r="P59" i="12"/>
  <c r="P58" i="12"/>
  <c r="P57" i="12"/>
  <c r="P56" i="12"/>
  <c r="P55" i="12"/>
  <c r="P54" i="12"/>
  <c r="P53" i="12"/>
  <c r="P52" i="12"/>
  <c r="P51" i="12"/>
  <c r="P50" i="12"/>
  <c r="P49" i="12"/>
  <c r="P48" i="12"/>
  <c r="P47" i="12"/>
  <c r="M47" i="12"/>
  <c r="P46" i="12"/>
  <c r="M61" i="6" l="1"/>
  <c r="K40" i="3"/>
  <c r="CM62" i="3"/>
  <c r="M67" i="6"/>
  <c r="AA73" i="7" s="1"/>
  <c r="R85" i="7"/>
  <c r="R83" i="7"/>
  <c r="R86" i="7"/>
  <c r="V85" i="7"/>
  <c r="U86" i="7"/>
  <c r="U83" i="7"/>
  <c r="U84" i="7"/>
  <c r="O83" i="7"/>
  <c r="O84" i="7"/>
  <c r="O85" i="7"/>
  <c r="V83" i="7"/>
  <c r="V86" i="7"/>
  <c r="K42" i="3"/>
  <c r="M64" i="6"/>
  <c r="Z70" i="7" s="1"/>
  <c r="M66" i="6"/>
  <c r="AD72" i="7" s="1"/>
  <c r="S86" i="7"/>
  <c r="S83" i="7"/>
  <c r="S84" i="7"/>
  <c r="S85" i="7"/>
  <c r="W86" i="7"/>
  <c r="W83" i="7"/>
  <c r="W85" i="7"/>
  <c r="W84" i="7"/>
  <c r="Q84" i="7"/>
  <c r="Q85" i="7"/>
  <c r="Q86" i="7"/>
  <c r="T85" i="7"/>
  <c r="T83" i="7"/>
  <c r="T86" i="7"/>
  <c r="P86" i="7"/>
  <c r="P84" i="7"/>
  <c r="P85" i="7"/>
  <c r="B76" i="6"/>
  <c r="CS75" i="3"/>
  <c r="K47" i="3"/>
  <c r="CS76" i="3"/>
  <c r="CT76" i="3" s="1"/>
  <c r="K48" i="3"/>
  <c r="M62" i="6"/>
  <c r="Y69" i="7"/>
  <c r="X69" i="7" s="1"/>
  <c r="M65" i="6"/>
  <c r="K44" i="3"/>
  <c r="G27" i="3"/>
  <c r="BF130" i="3"/>
  <c r="CS71" i="3"/>
  <c r="CT71" i="3" s="1"/>
  <c r="BF131" i="3"/>
  <c r="CS72" i="3"/>
  <c r="CT72" i="3" s="1"/>
  <c r="BF132" i="3"/>
  <c r="CS73" i="3"/>
  <c r="CT73" i="3" s="1"/>
  <c r="CS74" i="3"/>
  <c r="CT74" i="3" s="1"/>
  <c r="BF133" i="3"/>
  <c r="M69" i="6"/>
  <c r="BF135" i="3"/>
  <c r="BG135" i="3" s="1"/>
  <c r="M68" i="6"/>
  <c r="BF134" i="3"/>
  <c r="P45" i="12"/>
  <c r="P44" i="12"/>
  <c r="P43" i="12"/>
  <c r="P42" i="12"/>
  <c r="Z73" i="7" l="1"/>
  <c r="X73" i="7"/>
  <c r="Y73" i="7"/>
  <c r="AC73" i="7"/>
  <c r="AD73" i="7"/>
  <c r="R87" i="7"/>
  <c r="H66" i="12"/>
  <c r="BG131" i="3"/>
  <c r="H67" i="12"/>
  <c r="BG132" i="3"/>
  <c r="H65" i="12"/>
  <c r="BG130" i="3"/>
  <c r="H68" i="12"/>
  <c r="BG133" i="3"/>
  <c r="C67" i="15"/>
  <c r="C66" i="15"/>
  <c r="C64" i="15"/>
  <c r="C65" i="15"/>
  <c r="C69" i="15"/>
  <c r="C68" i="15"/>
  <c r="U87" i="7"/>
  <c r="O87" i="7"/>
  <c r="Z72" i="7"/>
  <c r="V87" i="7"/>
  <c r="AA72" i="7"/>
  <c r="AA70" i="7"/>
  <c r="X72" i="7"/>
  <c r="AD70" i="7"/>
  <c r="AC70" i="7"/>
  <c r="Y72" i="7"/>
  <c r="X70" i="7"/>
  <c r="Y70" i="7"/>
  <c r="AC72" i="7"/>
  <c r="S87" i="7"/>
  <c r="W87" i="7"/>
  <c r="Q87" i="7"/>
  <c r="T87" i="7"/>
  <c r="P87" i="7"/>
  <c r="AD71" i="7"/>
  <c r="Z71" i="7"/>
  <c r="Z75" i="7"/>
  <c r="AD75" i="7"/>
  <c r="AC71" i="7"/>
  <c r="AA71" i="7"/>
  <c r="X71" i="7"/>
  <c r="Y71" i="7"/>
  <c r="X75" i="7"/>
  <c r="Y75" i="7"/>
  <c r="AC75" i="7"/>
  <c r="AA75" i="7"/>
  <c r="H69" i="12"/>
  <c r="H70" i="12"/>
  <c r="P41" i="12"/>
  <c r="P40" i="12"/>
  <c r="P39" i="12"/>
  <c r="P38" i="12"/>
  <c r="P37" i="12"/>
  <c r="P36" i="12"/>
  <c r="P35" i="12"/>
  <c r="P34" i="12"/>
  <c r="V33" i="12"/>
  <c r="P33" i="12"/>
  <c r="P32" i="12"/>
  <c r="P31" i="12"/>
  <c r="P30" i="12"/>
  <c r="P29" i="12"/>
  <c r="P28" i="12"/>
  <c r="P27" i="12"/>
  <c r="P26" i="12"/>
  <c r="P25" i="12"/>
  <c r="P24" i="12"/>
  <c r="P23" i="12"/>
  <c r="P22" i="12"/>
  <c r="P21" i="12"/>
  <c r="P20" i="12"/>
  <c r="P19" i="12"/>
  <c r="P18" i="12"/>
  <c r="P17" i="12"/>
  <c r="P16" i="12"/>
  <c r="P15" i="12"/>
  <c r="P14" i="12"/>
  <c r="P13" i="12"/>
  <c r="P12" i="12"/>
  <c r="P11" i="12"/>
  <c r="P10" i="12"/>
  <c r="P9" i="12"/>
  <c r="P8" i="12"/>
  <c r="P7" i="12"/>
  <c r="P6" i="12"/>
  <c r="M59" i="6"/>
  <c r="M58" i="6"/>
  <c r="Y68" i="7" l="1"/>
  <c r="K39" i="3"/>
  <c r="L50" i="3" s="1"/>
  <c r="M57" i="6"/>
  <c r="M56" i="6"/>
  <c r="M55" i="6"/>
  <c r="M54" i="6"/>
  <c r="M53" i="6"/>
  <c r="M52" i="6"/>
  <c r="M51" i="6"/>
  <c r="M50" i="6"/>
  <c r="M49" i="6"/>
  <c r="M48" i="6"/>
  <c r="M47" i="6"/>
  <c r="M46" i="6"/>
  <c r="M45" i="6"/>
  <c r="M44" i="6"/>
  <c r="I44" i="6"/>
  <c r="H44" i="6"/>
  <c r="M43" i="6"/>
  <c r="I43" i="6"/>
  <c r="H43" i="6"/>
  <c r="M42" i="6"/>
  <c r="I42" i="6"/>
  <c r="H42" i="6"/>
  <c r="M41" i="6"/>
  <c r="I41" i="6"/>
  <c r="H41" i="6"/>
  <c r="M40" i="6"/>
  <c r="I40" i="6"/>
  <c r="H40" i="6"/>
  <c r="M39" i="6"/>
  <c r="I39" i="6"/>
  <c r="H39" i="6"/>
  <c r="M38" i="6"/>
  <c r="I38" i="6"/>
  <c r="H38" i="6"/>
  <c r="M37" i="6"/>
  <c r="I37" i="6"/>
  <c r="H37" i="6"/>
  <c r="M36" i="6"/>
  <c r="I36" i="6"/>
  <c r="H36" i="6"/>
  <c r="M35" i="6"/>
  <c r="I35" i="6"/>
  <c r="H35" i="6"/>
  <c r="M34" i="6"/>
  <c r="G81" i="7" s="1" a="1"/>
  <c r="G81" i="7" s="1"/>
  <c r="X68" i="7" l="1"/>
  <c r="I81" i="7" a="1"/>
  <c r="I81" i="7" s="1"/>
  <c r="N80" i="7" a="1"/>
  <c r="N80" i="7" s="1"/>
  <c r="L51" i="3"/>
  <c r="I34" i="6"/>
  <c r="H34" i="6"/>
  <c r="M33" i="6"/>
  <c r="I33" i="6"/>
  <c r="H33" i="6"/>
  <c r="M32" i="6"/>
  <c r="L32" i="6"/>
  <c r="L33" i="6" s="1"/>
  <c r="L34" i="6" s="1"/>
  <c r="L35" i="6" s="1"/>
  <c r="L36" i="6" s="1"/>
  <c r="L37" i="6" s="1"/>
  <c r="L38" i="6" s="1"/>
  <c r="L39" i="6" s="1"/>
  <c r="L40" i="6" s="1"/>
  <c r="L41" i="6" s="1"/>
  <c r="L42" i="6" s="1"/>
  <c r="L43" i="6" s="1"/>
  <c r="L44" i="6" s="1"/>
  <c r="L45" i="6" s="1"/>
  <c r="L46" i="6" s="1"/>
  <c r="L47" i="6" s="1"/>
  <c r="L48" i="6" s="1"/>
  <c r="L49" i="6" s="1"/>
  <c r="L50" i="6" s="1"/>
  <c r="L51" i="6" s="1"/>
  <c r="L52" i="6" s="1"/>
  <c r="L53" i="6" s="1"/>
  <c r="L54" i="6" s="1"/>
  <c r="L55" i="6" s="1"/>
  <c r="L56" i="6" s="1"/>
  <c r="L57" i="6" s="1"/>
  <c r="L58" i="6" s="1"/>
  <c r="L59" i="6" s="1"/>
  <c r="I32" i="6"/>
  <c r="H32" i="6"/>
  <c r="M31" i="6"/>
  <c r="I31" i="6"/>
  <c r="H31" i="6"/>
  <c r="M30" i="6"/>
  <c r="I30" i="6"/>
  <c r="H30" i="6"/>
  <c r="M29" i="6"/>
  <c r="I29" i="6"/>
  <c r="H29" i="6"/>
  <c r="M28" i="6"/>
  <c r="I28" i="6"/>
  <c r="H28" i="6"/>
  <c r="M27" i="6"/>
  <c r="I27" i="6"/>
  <c r="H27" i="6"/>
  <c r="M26" i="6"/>
  <c r="I26" i="6"/>
  <c r="H26" i="6"/>
  <c r="M25" i="6"/>
  <c r="I25" i="6"/>
  <c r="H25" i="6"/>
  <c r="M24" i="6"/>
  <c r="I24" i="6"/>
  <c r="H24" i="6"/>
  <c r="M23" i="6"/>
  <c r="I23" i="6"/>
  <c r="H23" i="6"/>
  <c r="M22" i="6"/>
  <c r="I22" i="6"/>
  <c r="H22" i="6"/>
  <c r="M21" i="6"/>
  <c r="M80" i="7" s="1" a="1"/>
  <c r="M80" i="7" s="1"/>
  <c r="I21" i="6"/>
  <c r="H21" i="6"/>
  <c r="M20" i="6"/>
  <c r="I20" i="6"/>
  <c r="H20" i="6"/>
  <c r="M19" i="6"/>
  <c r="H80" i="7" s="1" a="1"/>
  <c r="H80" i="7" s="1"/>
  <c r="I19" i="6"/>
  <c r="H19" i="6"/>
  <c r="M18" i="6"/>
  <c r="I18" i="6"/>
  <c r="H18" i="6"/>
  <c r="M17" i="6"/>
  <c r="I17" i="6"/>
  <c r="H17" i="6"/>
  <c r="M16" i="6"/>
  <c r="I16" i="6"/>
  <c r="H16" i="6"/>
  <c r="M15" i="6"/>
  <c r="M84" i="7" l="1"/>
  <c r="M83" i="7"/>
  <c r="M85" i="7"/>
  <c r="M86" i="7"/>
  <c r="N86" i="7"/>
  <c r="N84" i="7"/>
  <c r="N85" i="7"/>
  <c r="N83" i="7"/>
  <c r="I80" i="7" a="1"/>
  <c r="I80" i="7" s="1"/>
  <c r="I84" i="7" s="1"/>
  <c r="L80" i="7" a="1"/>
  <c r="L80" i="7" s="1"/>
  <c r="H84" i="7"/>
  <c r="H83" i="7"/>
  <c r="H86" i="7"/>
  <c r="H85" i="7"/>
  <c r="F80" i="7" a="1"/>
  <c r="F80" i="7" s="1"/>
  <c r="F85" i="7" s="1"/>
  <c r="G80" i="7" a="1"/>
  <c r="G80" i="7" s="1"/>
  <c r="K80" i="7" a="1"/>
  <c r="K80" i="7" s="1"/>
  <c r="J80" i="7" a="1"/>
  <c r="J80" i="7" s="1"/>
  <c r="I15" i="6"/>
  <c r="H15" i="6"/>
  <c r="M14" i="6"/>
  <c r="I14" i="6"/>
  <c r="H14" i="6"/>
  <c r="M13" i="6"/>
  <c r="I13" i="6"/>
  <c r="H13" i="6"/>
  <c r="M12" i="6"/>
  <c r="I12" i="6"/>
  <c r="H12" i="6"/>
  <c r="M11" i="6"/>
  <c r="I11" i="6"/>
  <c r="H11" i="6"/>
  <c r="M10" i="6"/>
  <c r="I10" i="6"/>
  <c r="H10" i="6"/>
  <c r="M9" i="6"/>
  <c r="I9" i="6"/>
  <c r="H9" i="6"/>
  <c r="M8" i="6"/>
  <c r="I8" i="6"/>
  <c r="H8" i="6"/>
  <c r="M7" i="6"/>
  <c r="I7" i="6"/>
  <c r="H7" i="6"/>
  <c r="A7" i="6"/>
  <c r="A8" i="6" s="1"/>
  <c r="A9" i="6" s="1"/>
  <c r="A10" i="6" s="1"/>
  <c r="A11" i="6" s="1"/>
  <c r="M6" i="6"/>
  <c r="I6" i="6"/>
  <c r="H6" i="6"/>
  <c r="M5" i="6"/>
  <c r="I5" i="6"/>
  <c r="H5" i="6"/>
  <c r="M87" i="7" l="1"/>
  <c r="N87" i="7"/>
  <c r="I86" i="7"/>
  <c r="I83" i="7"/>
  <c r="I85" i="7"/>
  <c r="F83" i="7"/>
  <c r="F84" i="7"/>
  <c r="F86" i="7"/>
  <c r="L84" i="7"/>
  <c r="L86" i="7"/>
  <c r="L83" i="7"/>
  <c r="L85" i="7"/>
  <c r="H87" i="7"/>
  <c r="G85" i="7"/>
  <c r="G84" i="7"/>
  <c r="G86" i="7"/>
  <c r="G83" i="7"/>
  <c r="K86" i="7"/>
  <c r="K84" i="7"/>
  <c r="K85" i="7"/>
  <c r="K83" i="7"/>
  <c r="J84" i="7"/>
  <c r="J86" i="7"/>
  <c r="J83" i="7"/>
  <c r="J85" i="7"/>
  <c r="A12" i="6"/>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N58" i="6"/>
  <c r="N54" i="6"/>
  <c r="N50" i="6"/>
  <c r="N46" i="6"/>
  <c r="N42" i="6"/>
  <c r="N38" i="6"/>
  <c r="N34" i="6"/>
  <c r="N57" i="6"/>
  <c r="N53" i="6"/>
  <c r="N49" i="6"/>
  <c r="N45" i="6"/>
  <c r="N39" i="6"/>
  <c r="N48" i="6"/>
  <c r="N44" i="6"/>
  <c r="N40" i="6"/>
  <c r="N52" i="6"/>
  <c r="N59" i="6"/>
  <c r="N55" i="6"/>
  <c r="N51" i="6"/>
  <c r="N47" i="6"/>
  <c r="N41" i="6"/>
  <c r="N37" i="6"/>
  <c r="N43" i="6"/>
  <c r="N35" i="6"/>
  <c r="N56" i="6"/>
  <c r="N36" i="6"/>
  <c r="N28" i="6"/>
  <c r="N24" i="6"/>
  <c r="N20" i="6"/>
  <c r="N16" i="6"/>
  <c r="N32" i="6"/>
  <c r="N29" i="6"/>
  <c r="N25" i="6"/>
  <c r="N21" i="6"/>
  <c r="N17" i="6"/>
  <c r="N30" i="6"/>
  <c r="N22" i="6"/>
  <c r="N33" i="6"/>
  <c r="N31" i="6"/>
  <c r="N27" i="6"/>
  <c r="N23" i="6"/>
  <c r="N19" i="6"/>
  <c r="N15" i="6"/>
  <c r="N26" i="6"/>
  <c r="N18" i="6"/>
  <c r="N6" i="6"/>
  <c r="N8" i="6"/>
  <c r="N10" i="6"/>
  <c r="N13" i="6"/>
  <c r="N5" i="6"/>
  <c r="N12" i="6"/>
  <c r="N7" i="6"/>
  <c r="N9" i="6"/>
  <c r="N11" i="6"/>
  <c r="N14" i="6"/>
  <c r="I87" i="7" l="1"/>
  <c r="F87" i="7"/>
  <c r="L87" i="7"/>
  <c r="J87" i="7"/>
  <c r="K87" i="7"/>
  <c r="G87" i="7"/>
  <c r="A62" i="6"/>
  <c r="A63" i="6" l="1"/>
  <c r="A64" i="6" s="1"/>
  <c r="Y67" i="7" l="1"/>
  <c r="X67" i="7" l="1"/>
  <c r="E43" i="11"/>
  <c r="D43" i="11"/>
  <c r="E40" i="11"/>
  <c r="D40" i="11"/>
  <c r="E37" i="11"/>
  <c r="D37" i="11"/>
  <c r="E34" i="11"/>
  <c r="D34" i="11"/>
  <c r="E31" i="11"/>
  <c r="E28" i="11" l="1"/>
  <c r="D28" i="11"/>
  <c r="E25" i="11"/>
  <c r="D25" i="11"/>
  <c r="E22" i="11"/>
  <c r="D22" i="11"/>
  <c r="E19" i="11"/>
  <c r="D19" i="11"/>
  <c r="E16" i="11"/>
  <c r="H11" i="11"/>
  <c r="H10" i="11"/>
  <c r="E8" i="11" l="1"/>
  <c r="D34" i="9"/>
  <c r="C34" i="9"/>
  <c r="D32" i="9"/>
  <c r="C32" i="9"/>
  <c r="D30" i="9"/>
  <c r="C30" i="9"/>
  <c r="D28" i="9"/>
  <c r="C28" i="9"/>
  <c r="D26" i="9"/>
  <c r="D24" i="9"/>
  <c r="C24" i="9"/>
  <c r="D22" i="9"/>
  <c r="C22" i="9"/>
  <c r="D20" i="9"/>
  <c r="C20" i="9"/>
  <c r="D18" i="9"/>
  <c r="C18" i="9"/>
  <c r="D16" i="9"/>
  <c r="C16" i="9"/>
  <c r="G12" i="9"/>
  <c r="G11" i="9"/>
  <c r="D23" i="14"/>
  <c r="I15" i="15" s="1"/>
  <c r="C23" i="14"/>
  <c r="H15" i="15" s="1"/>
  <c r="D22" i="14"/>
  <c r="I14" i="15" s="1"/>
  <c r="C22" i="14"/>
  <c r="H14" i="15" s="1"/>
  <c r="D21" i="14"/>
  <c r="I13" i="15" s="1"/>
  <c r="C21" i="14"/>
  <c r="H13" i="15" s="1"/>
  <c r="D20" i="14"/>
  <c r="I12" i="15" s="1"/>
  <c r="C20" i="14"/>
  <c r="H12" i="15" s="1"/>
  <c r="D19" i="14"/>
  <c r="I11" i="15" s="1"/>
  <c r="C19" i="14"/>
  <c r="H11" i="15" s="1"/>
  <c r="D18" i="14"/>
  <c r="I10" i="15" s="1"/>
  <c r="C18" i="14"/>
  <c r="H10" i="15" s="1"/>
  <c r="D17" i="14"/>
  <c r="I9" i="15" s="1"/>
  <c r="C17" i="14"/>
  <c r="H9" i="15" s="1"/>
  <c r="D16" i="14"/>
  <c r="I8" i="15" s="1"/>
  <c r="C16" i="14"/>
  <c r="H8" i="15" s="1"/>
  <c r="D15" i="14"/>
  <c r="I7" i="15" s="1"/>
  <c r="C15" i="14"/>
  <c r="H7" i="15" s="1"/>
  <c r="D14" i="14"/>
  <c r="I6" i="15" s="1"/>
  <c r="C14" i="14"/>
  <c r="H6" i="15" s="1"/>
  <c r="BF129" i="3" l="1"/>
  <c r="BF128" i="3"/>
  <c r="BF127" i="3"/>
  <c r="BF126" i="3" l="1"/>
  <c r="BF125" i="3"/>
  <c r="BF124" i="3"/>
  <c r="BF123" i="3"/>
  <c r="BF122" i="3"/>
  <c r="BF121" i="3"/>
  <c r="BF120" i="3"/>
  <c r="BF119" i="3"/>
  <c r="BF118" i="3"/>
  <c r="BF117" i="3"/>
  <c r="BF116" i="3"/>
  <c r="BF115" i="3"/>
  <c r="H50" i="12" s="1"/>
  <c r="BF114" i="3"/>
  <c r="BF113" i="3"/>
  <c r="BF112" i="3"/>
  <c r="BF111" i="3"/>
  <c r="BF110" i="3"/>
  <c r="BV109" i="3"/>
  <c r="BF109" i="3"/>
  <c r="BV108" i="3"/>
  <c r="BF108" i="3"/>
  <c r="BV107" i="3"/>
  <c r="BF107" i="3"/>
  <c r="BV106" i="3"/>
  <c r="BF106" i="3"/>
  <c r="BV105" i="3"/>
  <c r="BF105" i="3"/>
  <c r="BV104" i="3"/>
  <c r="BF104" i="3"/>
  <c r="BV103" i="3"/>
  <c r="BF103" i="3"/>
  <c r="BV102" i="3"/>
  <c r="BF102" i="3"/>
  <c r="BV101" i="3"/>
  <c r="BF101" i="3"/>
  <c r="BV100" i="3"/>
  <c r="BF100" i="3"/>
  <c r="BV99" i="3"/>
  <c r="BF99" i="3"/>
  <c r="H34" i="12" s="1"/>
  <c r="BV98" i="3"/>
  <c r="BF98" i="3"/>
  <c r="BV97" i="3"/>
  <c r="BF97" i="3"/>
  <c r="BV96" i="3"/>
  <c r="BF96" i="3"/>
  <c r="BV95" i="3"/>
  <c r="BF95" i="3"/>
  <c r="BV94" i="3"/>
  <c r="BF94" i="3"/>
  <c r="BV93" i="3"/>
  <c r="BF93" i="3"/>
  <c r="BV92" i="3"/>
  <c r="BF92" i="3"/>
  <c r="BV91" i="3"/>
  <c r="BF91" i="3"/>
  <c r="BV90" i="3"/>
  <c r="BF90" i="3"/>
  <c r="BV89" i="3"/>
  <c r="BF89" i="3"/>
  <c r="BV88" i="3"/>
  <c r="BF88" i="3"/>
  <c r="BV87" i="3"/>
  <c r="BF87" i="3"/>
  <c r="BV86" i="3"/>
  <c r="BF86" i="3"/>
  <c r="BV85" i="3"/>
  <c r="BF85" i="3"/>
  <c r="BV84" i="3"/>
  <c r="BF84" i="3"/>
  <c r="BV83" i="3"/>
  <c r="BF83" i="3"/>
  <c r="H18" i="12" s="1"/>
  <c r="BV82" i="3"/>
  <c r="BF82" i="3"/>
  <c r="BV81" i="3"/>
  <c r="BF81" i="3"/>
  <c r="BV80" i="3"/>
  <c r="BF80" i="3"/>
  <c r="BV79" i="3"/>
  <c r="BF79" i="3"/>
  <c r="BV78" i="3"/>
  <c r="BF78" i="3"/>
  <c r="BV77" i="3"/>
  <c r="BF77" i="3"/>
  <c r="BV76" i="3"/>
  <c r="BF76" i="3"/>
  <c r="BV75" i="3"/>
  <c r="BF75" i="3"/>
  <c r="BV74" i="3"/>
  <c r="BF74" i="3"/>
  <c r="BV73" i="3"/>
  <c r="BF73" i="3"/>
  <c r="BV72" i="3"/>
  <c r="BF72" i="3"/>
  <c r="BV71" i="3"/>
  <c r="BF71" i="3"/>
  <c r="CS70" i="3"/>
  <c r="BV70" i="3"/>
  <c r="CS69" i="3"/>
  <c r="CS68" i="3"/>
  <c r="CS66" i="3"/>
  <c r="CS65" i="3"/>
  <c r="CS64" i="3"/>
  <c r="CS63" i="3"/>
  <c r="CS62" i="3"/>
  <c r="CS61" i="3"/>
  <c r="CS60" i="3"/>
  <c r="CS59" i="3"/>
  <c r="CS58" i="3"/>
  <c r="CS57" i="3"/>
  <c r="CS56" i="3"/>
  <c r="CS55" i="3"/>
  <c r="CS54" i="3"/>
  <c r="CS53" i="3"/>
  <c r="CS52" i="3"/>
  <c r="CS51" i="3"/>
  <c r="CS50" i="3"/>
  <c r="CS49" i="3"/>
  <c r="CS48" i="3"/>
  <c r="CS47" i="3"/>
  <c r="CS46" i="3"/>
  <c r="CS45" i="3"/>
  <c r="BC127" i="3" l="1"/>
  <c r="BC129" i="3"/>
  <c r="AW45" i="3"/>
  <c r="CS44" i="3"/>
  <c r="CS43" i="3"/>
  <c r="CS42" i="3"/>
  <c r="AW42" i="3"/>
  <c r="CS41" i="3"/>
  <c r="CS40" i="3"/>
  <c r="AW40" i="3"/>
  <c r="CS39" i="3"/>
  <c r="AW39" i="3"/>
  <c r="CS38" i="3"/>
  <c r="CS37" i="3"/>
  <c r="CS36" i="3"/>
  <c r="CS35" i="3"/>
  <c r="CS34" i="3"/>
  <c r="CS33" i="3"/>
  <c r="CS32" i="3"/>
  <c r="CS31" i="3"/>
  <c r="CM31" i="3"/>
  <c r="CL31" i="3"/>
  <c r="CK31" i="3"/>
  <c r="CJ31" i="3"/>
  <c r="CS30" i="3"/>
  <c r="CH30" i="3"/>
  <c r="CG30" i="3"/>
  <c r="CF30" i="3"/>
  <c r="CE30" i="3"/>
  <c r="CS29" i="3"/>
  <c r="CM29" i="3"/>
  <c r="CL29" i="3"/>
  <c r="CK29" i="3"/>
  <c r="CJ29" i="3"/>
  <c r="CS28" i="3"/>
  <c r="CH28" i="3"/>
  <c r="CG28" i="3"/>
  <c r="CF28" i="3"/>
  <c r="CE28" i="3"/>
  <c r="CS27" i="3"/>
  <c r="CM27" i="3"/>
  <c r="CL27" i="3"/>
  <c r="CK27" i="3"/>
  <c r="CJ27" i="3"/>
  <c r="CS26" i="3"/>
  <c r="CH26" i="3"/>
  <c r="CG26" i="3"/>
  <c r="CF26" i="3"/>
  <c r="CE26" i="3"/>
  <c r="CS25" i="3"/>
  <c r="CM25" i="3"/>
  <c r="CL25" i="3"/>
  <c r="CK25" i="3"/>
  <c r="CJ25" i="3"/>
  <c r="CS24" i="3"/>
  <c r="CH24" i="3"/>
  <c r="CG24" i="3"/>
  <c r="CF24" i="3"/>
  <c r="CE24" i="3"/>
  <c r="CS23" i="3"/>
  <c r="CM23" i="3"/>
  <c r="CL23" i="3"/>
  <c r="CK23" i="3"/>
  <c r="CJ23" i="3"/>
  <c r="Q23" i="3"/>
  <c r="CS22" i="3"/>
  <c r="CH22" i="3"/>
  <c r="CG22" i="3"/>
  <c r="CF22" i="3"/>
  <c r="CE22" i="3"/>
  <c r="CS21" i="3"/>
  <c r="CM21" i="3"/>
  <c r="CL21" i="3"/>
  <c r="CK21" i="3"/>
  <c r="CJ21" i="3"/>
  <c r="CS20" i="3"/>
  <c r="CH20" i="3"/>
  <c r="CG20" i="3"/>
  <c r="CF20" i="3"/>
  <c r="CE20" i="3"/>
  <c r="CS19" i="3"/>
  <c r="CM19" i="3"/>
  <c r="CL19" i="3"/>
  <c r="CK19" i="3"/>
  <c r="CJ19" i="3"/>
  <c r="CS18" i="3"/>
  <c r="CH18" i="3"/>
  <c r="CG18" i="3"/>
  <c r="CF18" i="3"/>
  <c r="CE18" i="3"/>
  <c r="CS17" i="3"/>
  <c r="CM17" i="3"/>
  <c r="CL17" i="3"/>
  <c r="CJ17" i="3"/>
  <c r="CS16" i="3"/>
  <c r="CH16" i="3"/>
  <c r="CG16" i="3"/>
  <c r="CF16" i="3"/>
  <c r="CE16" i="3"/>
  <c r="CS15" i="3"/>
  <c r="CM15" i="3"/>
  <c r="CL15" i="3"/>
  <c r="CK15" i="3"/>
  <c r="CJ15" i="3"/>
  <c r="CS14" i="3"/>
  <c r="CH14" i="3"/>
  <c r="CG14" i="3"/>
  <c r="CF14" i="3"/>
  <c r="CE14" i="3"/>
  <c r="CS13" i="3"/>
  <c r="CM13" i="3"/>
  <c r="CL13" i="3"/>
  <c r="CK13" i="3"/>
  <c r="CJ13" i="3"/>
  <c r="CS12" i="3"/>
  <c r="CH12" i="3"/>
  <c r="CG12" i="3"/>
  <c r="CF12" i="3"/>
  <c r="CE12" i="3"/>
  <c r="CA34" i="3" l="1"/>
  <c r="CA32" i="3"/>
  <c r="BX34" i="3"/>
  <c r="BX32" i="3"/>
  <c r="BY34" i="3"/>
  <c r="BY32" i="3"/>
  <c r="BZ34" i="3"/>
  <c r="BZ32" i="3"/>
  <c r="BY30" i="3"/>
  <c r="CN29" i="3"/>
  <c r="CN25" i="3"/>
  <c r="CN17" i="3"/>
  <c r="CN19" i="3"/>
  <c r="CN21" i="3"/>
  <c r="CN15" i="3"/>
  <c r="CN23" i="3"/>
  <c r="CN27" i="3"/>
  <c r="CN31" i="3"/>
  <c r="CN13" i="3"/>
  <c r="CX6" i="3"/>
  <c r="S26" i="3" s="1"/>
  <c r="BX12" i="3"/>
  <c r="BZ16" i="3"/>
  <c r="BZ18" i="3"/>
  <c r="BZ14" i="3"/>
  <c r="CA20" i="3"/>
  <c r="BY22" i="3"/>
  <c r="BY28" i="3"/>
  <c r="CA30" i="3"/>
  <c r="CA12" i="3"/>
  <c r="BY16" i="3"/>
  <c r="BX30" i="3"/>
  <c r="BZ12" i="3"/>
  <c r="BX14" i="3"/>
  <c r="BX16" i="3"/>
  <c r="BX18" i="3"/>
  <c r="BY14" i="3"/>
  <c r="BY18" i="3"/>
  <c r="BY12" i="3"/>
  <c r="CA14" i="3"/>
  <c r="CA16" i="3"/>
  <c r="CA18" i="3"/>
  <c r="BY20" i="3"/>
  <c r="BX24" i="3"/>
  <c r="BX20" i="3"/>
  <c r="CA22" i="3"/>
  <c r="BZ22" i="3"/>
  <c r="CA24" i="3"/>
  <c r="BZ26" i="3"/>
  <c r="BX28" i="3"/>
  <c r="BZ20" i="3"/>
  <c r="BX22" i="3"/>
  <c r="BY26" i="3"/>
  <c r="BZ24" i="3"/>
  <c r="BX26" i="3"/>
  <c r="BY24" i="3"/>
  <c r="CA26" i="3"/>
  <c r="BZ28" i="3"/>
  <c r="BZ30" i="3"/>
  <c r="CA28" i="3"/>
  <c r="H12" i="11"/>
  <c r="G13" i="9"/>
  <c r="BC45" i="3"/>
  <c r="H7" i="12"/>
  <c r="H8" i="12"/>
  <c r="H9" i="12"/>
  <c r="H10" i="12"/>
  <c r="H11" i="12"/>
  <c r="H12" i="12"/>
  <c r="H13" i="12"/>
  <c r="H14" i="12"/>
  <c r="H15" i="12"/>
  <c r="H16" i="12"/>
  <c r="H17" i="12"/>
  <c r="H6" i="12"/>
  <c r="V34" i="12"/>
  <c r="V35" i="12" s="1"/>
  <c r="V36" i="12" s="1"/>
  <c r="V37" i="12" s="1"/>
  <c r="V38" i="12" s="1"/>
  <c r="V39" i="12" s="1"/>
  <c r="V40" i="12" s="1"/>
  <c r="V41" i="12" s="1"/>
  <c r="V42" i="12" s="1"/>
  <c r="V43" i="12" s="1"/>
  <c r="V44" i="12" s="1"/>
  <c r="V45" i="12" s="1"/>
  <c r="V46" i="12" s="1"/>
  <c r="V47" i="12" s="1"/>
  <c r="V48" i="12" s="1"/>
  <c r="V49" i="12" s="1"/>
  <c r="V50" i="12" s="1"/>
  <c r="V51" i="12" s="1"/>
  <c r="V52" i="12" s="1"/>
  <c r="V53" i="12" s="1"/>
  <c r="H35" i="12"/>
  <c r="H36" i="12"/>
  <c r="H37" i="12"/>
  <c r="H38" i="12"/>
  <c r="H39" i="12"/>
  <c r="H40" i="12"/>
  <c r="H41" i="12"/>
  <c r="H42" i="12"/>
  <c r="H19" i="12"/>
  <c r="H20" i="12"/>
  <c r="H21" i="12"/>
  <c r="H22" i="12"/>
  <c r="H23" i="12"/>
  <c r="H24" i="12"/>
  <c r="H25" i="12"/>
  <c r="H26" i="12"/>
  <c r="H27" i="12"/>
  <c r="H28" i="12"/>
  <c r="H29" i="12"/>
  <c r="H30" i="12"/>
  <c r="H31" i="12"/>
  <c r="H32" i="12"/>
  <c r="H33" i="12"/>
  <c r="H43" i="12"/>
  <c r="H44" i="12"/>
  <c r="H45" i="12"/>
  <c r="H46" i="12"/>
  <c r="H48" i="12"/>
  <c r="H51" i="12"/>
  <c r="H55" i="12"/>
  <c r="H59" i="12"/>
  <c r="H63" i="12"/>
  <c r="C8" i="15"/>
  <c r="C12" i="15"/>
  <c r="C16" i="15"/>
  <c r="C20" i="15"/>
  <c r="C24" i="15"/>
  <c r="C28" i="15"/>
  <c r="C32" i="15"/>
  <c r="C36" i="15"/>
  <c r="C40" i="15"/>
  <c r="C44" i="15"/>
  <c r="C48" i="15"/>
  <c r="C52" i="15"/>
  <c r="C56" i="15"/>
  <c r="CS67" i="3"/>
  <c r="C60" i="15" s="1"/>
  <c r="H54" i="12"/>
  <c r="H58" i="12"/>
  <c r="H62" i="12"/>
  <c r="C7" i="15"/>
  <c r="C11" i="15"/>
  <c r="C15" i="15"/>
  <c r="C19" i="15"/>
  <c r="C23" i="15"/>
  <c r="C27" i="15"/>
  <c r="C31" i="15"/>
  <c r="C35" i="15"/>
  <c r="C39" i="15"/>
  <c r="C43" i="15"/>
  <c r="C47" i="15"/>
  <c r="C51" i="15"/>
  <c r="C55" i="15"/>
  <c r="C59" i="15"/>
  <c r="C63" i="15"/>
  <c r="H53" i="12"/>
  <c r="H57" i="12"/>
  <c r="H61" i="12"/>
  <c r="C6" i="15"/>
  <c r="C10" i="15"/>
  <c r="C14" i="15"/>
  <c r="C18" i="15"/>
  <c r="C22" i="15"/>
  <c r="C26" i="15"/>
  <c r="C30" i="15"/>
  <c r="C34" i="15"/>
  <c r="C38" i="15"/>
  <c r="C42" i="15"/>
  <c r="C46" i="15"/>
  <c r="C50" i="15"/>
  <c r="C54" i="15"/>
  <c r="C58" i="15"/>
  <c r="C62" i="15"/>
  <c r="H47" i="12"/>
  <c r="H49" i="12"/>
  <c r="H52" i="12"/>
  <c r="H56" i="12"/>
  <c r="H60" i="12"/>
  <c r="H64" i="12"/>
  <c r="C5" i="15"/>
  <c r="C9" i="15"/>
  <c r="C13" i="15"/>
  <c r="C17" i="15"/>
  <c r="C21" i="15"/>
  <c r="C25" i="15"/>
  <c r="C29" i="15"/>
  <c r="C33" i="15"/>
  <c r="C37" i="15"/>
  <c r="C41" i="15"/>
  <c r="C45" i="15"/>
  <c r="C49" i="15"/>
  <c r="C53" i="15"/>
  <c r="C57" i="15"/>
  <c r="C61" i="15"/>
  <c r="CM36" i="3" l="1"/>
  <c r="CX73" i="3"/>
  <c r="CX69" i="3"/>
  <c r="CX65" i="3"/>
  <c r="CX61" i="3"/>
  <c r="CX57" i="3"/>
  <c r="CX53" i="3"/>
  <c r="CX49" i="3"/>
  <c r="CX45" i="3"/>
  <c r="CX41" i="3"/>
  <c r="CX37" i="3"/>
  <c r="CX33" i="3"/>
  <c r="CX29" i="3"/>
  <c r="CX25" i="3"/>
  <c r="CX21" i="3"/>
  <c r="CX17" i="3"/>
  <c r="CX13" i="3"/>
  <c r="CX74" i="3"/>
  <c r="CX70" i="3"/>
  <c r="CX66" i="3"/>
  <c r="CX62" i="3"/>
  <c r="CX58" i="3"/>
  <c r="CX54" i="3"/>
  <c r="CX50" i="3"/>
  <c r="CX46" i="3"/>
  <c r="CX42" i="3"/>
  <c r="CX38" i="3"/>
  <c r="CX34" i="3"/>
  <c r="CX30" i="3"/>
  <c r="CX26" i="3"/>
  <c r="CX22" i="3"/>
  <c r="CX18" i="3"/>
  <c r="CX14" i="3"/>
  <c r="CX19" i="3"/>
  <c r="CX76" i="3"/>
  <c r="CX68" i="3"/>
  <c r="CX64" i="3"/>
  <c r="CX60" i="3"/>
  <c r="CX56" i="3"/>
  <c r="CX52" i="3"/>
  <c r="CX44" i="3"/>
  <c r="CX40" i="3"/>
  <c r="CX36" i="3"/>
  <c r="CX32" i="3"/>
  <c r="CX24" i="3"/>
  <c r="CX16" i="3"/>
  <c r="CX75" i="3"/>
  <c r="CX71" i="3"/>
  <c r="CX67" i="3"/>
  <c r="CX63" i="3"/>
  <c r="CX59" i="3"/>
  <c r="CX55" i="3"/>
  <c r="CX51" i="3"/>
  <c r="CX47" i="3"/>
  <c r="CX43" i="3"/>
  <c r="CX39" i="3"/>
  <c r="CX35" i="3"/>
  <c r="CX31" i="3"/>
  <c r="CX27" i="3"/>
  <c r="CX23" i="3"/>
  <c r="CX15" i="3"/>
  <c r="CX48" i="3"/>
  <c r="CX28" i="3"/>
  <c r="CX20" i="3"/>
  <c r="CX12" i="3"/>
  <c r="CX72" i="3"/>
  <c r="BE45" i="3"/>
  <c r="F70" i="12" l="1"/>
  <c r="F62" i="12" l="1"/>
  <c r="F63" i="12"/>
  <c r="F64" i="12"/>
  <c r="F65" i="12"/>
  <c r="F66" i="12"/>
  <c r="F67" i="12"/>
  <c r="F68" i="12"/>
  <c r="V45" i="3" l="1"/>
  <c r="V46" i="3"/>
  <c r="R46" i="3"/>
  <c r="R45" i="3"/>
  <c r="T43" i="3"/>
  <c r="T44" i="3"/>
  <c r="V41" i="3"/>
  <c r="V42" i="3"/>
  <c r="R42" i="3"/>
  <c r="R41" i="3"/>
  <c r="X39" i="3" l="1"/>
  <c r="X43" i="3"/>
  <c r="AW37" i="3" l="1"/>
  <c r="T39" i="3" l="1"/>
  <c r="T40" i="3"/>
  <c r="V43" i="3" l="1"/>
  <c r="V44" i="3"/>
  <c r="X41" i="3"/>
  <c r="X45" i="3"/>
  <c r="V40" i="3"/>
  <c r="V39" i="3"/>
  <c r="R44" i="3"/>
  <c r="R43" i="3"/>
  <c r="T45" i="3"/>
  <c r="T46" i="3"/>
  <c r="T42" i="3"/>
  <c r="T41" i="3"/>
  <c r="R39" i="3"/>
  <c r="R40" i="3"/>
  <c r="Y74" i="7" l="1"/>
  <c r="X74" i="7" s="1"/>
  <c r="AA74" i="7" l="1"/>
  <c r="AD74" i="7" l="1"/>
  <c r="AC74" i="7" s="1"/>
  <c r="Z74" i="7" l="1"/>
  <c r="CX78" i="3"/>
  <c r="Y11" i="7"/>
  <c r="X11" i="7" s="1"/>
  <c r="Y12" i="7"/>
  <c r="Y13" i="7"/>
  <c r="X13" i="7" s="1"/>
  <c r="Y14" i="7"/>
  <c r="Y15" i="7"/>
  <c r="X15" i="7" s="1"/>
  <c r="Y16" i="7"/>
  <c r="Y17" i="7"/>
  <c r="X17" i="7" s="1"/>
  <c r="Y18" i="7"/>
  <c r="Y19" i="7"/>
  <c r="X19" i="7" s="1"/>
  <c r="Y20" i="7"/>
  <c r="Y21" i="7"/>
  <c r="X21" i="7" s="1"/>
  <c r="Y22" i="7"/>
  <c r="Y23" i="7"/>
  <c r="X23" i="7" s="1"/>
  <c r="Y24" i="7"/>
  <c r="Y25" i="7"/>
  <c r="X25" i="7" s="1"/>
  <c r="Y26" i="7"/>
  <c r="Y27" i="7"/>
  <c r="X27" i="7" s="1"/>
  <c r="Y28" i="7"/>
  <c r="Y29" i="7"/>
  <c r="X29" i="7" s="1"/>
  <c r="Y30" i="7"/>
  <c r="Y31" i="7"/>
  <c r="X31" i="7" s="1"/>
  <c r="Y32" i="7"/>
  <c r="Y33" i="7"/>
  <c r="X33" i="7" s="1"/>
  <c r="Y34" i="7"/>
  <c r="Y35" i="7"/>
  <c r="X35" i="7" s="1"/>
  <c r="Y36" i="7"/>
  <c r="Y37" i="7"/>
  <c r="X37" i="7" s="1"/>
  <c r="Y38" i="7"/>
  <c r="X38" i="7" s="1"/>
  <c r="Y39" i="7"/>
  <c r="X39" i="7" s="1"/>
  <c r="Y40" i="7"/>
  <c r="X40" i="7" s="1"/>
  <c r="Y41" i="7"/>
  <c r="X41" i="7" s="1"/>
  <c r="Y42" i="7"/>
  <c r="X42" i="7" s="1"/>
  <c r="Y43" i="7"/>
  <c r="X43" i="7" s="1"/>
  <c r="Y44" i="7"/>
  <c r="X44" i="7" s="1"/>
  <c r="Y45" i="7"/>
  <c r="X45" i="7" s="1"/>
  <c r="Y46" i="7"/>
  <c r="X46" i="7" s="1"/>
  <c r="Y47" i="7"/>
  <c r="X47" i="7" s="1"/>
  <c r="Y48" i="7"/>
  <c r="X48" i="7" s="1"/>
  <c r="Y49" i="7"/>
  <c r="X49" i="7" s="1"/>
  <c r="Y50" i="7"/>
  <c r="X50" i="7" s="1"/>
  <c r="Y51" i="7"/>
  <c r="X51" i="7" s="1"/>
  <c r="Y52" i="7"/>
  <c r="X52" i="7" s="1"/>
  <c r="Y53" i="7"/>
  <c r="X53" i="7" s="1"/>
  <c r="Y54" i="7"/>
  <c r="X54" i="7" s="1"/>
  <c r="Y55" i="7"/>
  <c r="X55" i="7" s="1"/>
  <c r="Y56" i="7"/>
  <c r="X56" i="7" s="1"/>
  <c r="Y57" i="7"/>
  <c r="X57" i="7" s="1"/>
  <c r="Y58" i="7"/>
  <c r="Y59" i="7"/>
  <c r="X59" i="7" s="1"/>
  <c r="Y60" i="7"/>
  <c r="Y61" i="7"/>
  <c r="X61" i="7" s="1"/>
  <c r="Y62" i="7"/>
  <c r="Y63" i="7"/>
  <c r="X63" i="7" s="1"/>
  <c r="Y64" i="7"/>
  <c r="Y65" i="7"/>
  <c r="X65" i="7" s="1"/>
  <c r="Y66" i="7"/>
  <c r="X66" i="7" s="1"/>
  <c r="E76" i="7"/>
  <c r="X76" i="7" s="1"/>
  <c r="D79" i="15" s="1"/>
  <c r="E77" i="7"/>
  <c r="E79" i="7" s="1"/>
  <c r="E80" i="7" s="1" a="1"/>
  <c r="E80" i="7" s="1"/>
  <c r="E78" i="7"/>
  <c r="AD79" i="7" s="1"/>
  <c r="AD69" i="7" s="1"/>
  <c r="Z69" i="7" l="1"/>
  <c r="AC69" i="7"/>
  <c r="AD67" i="7"/>
  <c r="AC67" i="7" s="1"/>
  <c r="AD68" i="7"/>
  <c r="X64" i="7"/>
  <c r="X62" i="7"/>
  <c r="X60" i="7"/>
  <c r="X58" i="7"/>
  <c r="CP6" i="3"/>
  <c r="D83" i="15" s="1"/>
  <c r="CP70" i="3"/>
  <c r="X36" i="7"/>
  <c r="X34" i="7"/>
  <c r="X32" i="7"/>
  <c r="X30" i="7"/>
  <c r="X28" i="7"/>
  <c r="X26" i="7"/>
  <c r="X24" i="7"/>
  <c r="X22" i="7"/>
  <c r="X20" i="7"/>
  <c r="X18" i="7"/>
  <c r="X16" i="7"/>
  <c r="X14" i="7"/>
  <c r="X12" i="7"/>
  <c r="AD12" i="7"/>
  <c r="AD43" i="7"/>
  <c r="AC43" i="7" s="1"/>
  <c r="AD53" i="7"/>
  <c r="AC53" i="7" s="1"/>
  <c r="AD41" i="7"/>
  <c r="AC41" i="7" s="1"/>
  <c r="AD49" i="7"/>
  <c r="AC49" i="7" s="1"/>
  <c r="AD45" i="7"/>
  <c r="AC45" i="7" s="1"/>
  <c r="AD47" i="7"/>
  <c r="AC47" i="7" s="1"/>
  <c r="AD55" i="7"/>
  <c r="AC55" i="7" s="1"/>
  <c r="X78" i="7"/>
  <c r="E85" i="7"/>
  <c r="E84" i="7"/>
  <c r="E83" i="7"/>
  <c r="E86" i="7"/>
  <c r="AD61" i="7"/>
  <c r="AD59" i="7"/>
  <c r="AD39" i="7"/>
  <c r="AD37" i="7"/>
  <c r="AD35" i="7"/>
  <c r="AD33" i="7"/>
  <c r="AD31" i="7"/>
  <c r="AD29" i="7"/>
  <c r="AD27" i="7"/>
  <c r="AD25" i="7"/>
  <c r="AD23" i="7"/>
  <c r="AD21" i="7"/>
  <c r="AD19" i="7"/>
  <c r="AD17" i="7"/>
  <c r="AD15" i="7"/>
  <c r="AD13" i="7"/>
  <c r="AD11" i="7"/>
  <c r="AD63" i="7"/>
  <c r="AD57" i="7"/>
  <c r="AD51" i="7"/>
  <c r="E81" i="7" a="1"/>
  <c r="E81" i="7" s="1"/>
  <c r="AD66" i="7"/>
  <c r="AD64" i="7"/>
  <c r="AD62" i="7"/>
  <c r="AD60" i="7"/>
  <c r="AD58" i="7"/>
  <c r="AD56" i="7"/>
  <c r="AD54" i="7"/>
  <c r="AD52" i="7"/>
  <c r="AD50" i="7"/>
  <c r="AD48" i="7"/>
  <c r="AD46" i="7"/>
  <c r="AD44" i="7"/>
  <c r="AD42" i="7"/>
  <c r="AD40" i="7"/>
  <c r="AD38" i="7"/>
  <c r="AD36" i="7"/>
  <c r="AD34" i="7"/>
  <c r="AD32" i="7"/>
  <c r="AD30" i="7"/>
  <c r="AD28" i="7"/>
  <c r="AD26" i="7"/>
  <c r="AD24" i="7"/>
  <c r="AD22" i="7"/>
  <c r="AD20" i="7"/>
  <c r="AD18" i="7"/>
  <c r="AD16" i="7"/>
  <c r="AD14" i="7"/>
  <c r="AD65" i="7"/>
  <c r="X79" i="7"/>
  <c r="E82" i="7" a="1"/>
  <c r="E82" i="7" s="1"/>
  <c r="AA69" i="7" l="1"/>
  <c r="AA68" i="7"/>
  <c r="AC68" i="7"/>
  <c r="AA66" i="7"/>
  <c r="AA29" i="7"/>
  <c r="AA63" i="7"/>
  <c r="AA53" i="7"/>
  <c r="AA32" i="7"/>
  <c r="AA36" i="7"/>
  <c r="AA62" i="7"/>
  <c r="AC12" i="7"/>
  <c r="AA30" i="7"/>
  <c r="AA43" i="7"/>
  <c r="AA11" i="7"/>
  <c r="AA33" i="7"/>
  <c r="AA15" i="7"/>
  <c r="AA19" i="7"/>
  <c r="AA23" i="7"/>
  <c r="AA27" i="7"/>
  <c r="AA31" i="7"/>
  <c r="AA35" i="7"/>
  <c r="AA47" i="7"/>
  <c r="AA65" i="7"/>
  <c r="AA51" i="7"/>
  <c r="AA55" i="7"/>
  <c r="AA13" i="7"/>
  <c r="AA17" i="7"/>
  <c r="AA21" i="7"/>
  <c r="AA25" i="7"/>
  <c r="AA39" i="7"/>
  <c r="AA59" i="7"/>
  <c r="AA37" i="7"/>
  <c r="AA41" i="7"/>
  <c r="AA45" i="7"/>
  <c r="AA49" i="7"/>
  <c r="AA57" i="7"/>
  <c r="AA61" i="7"/>
  <c r="AA28" i="7"/>
  <c r="AA52" i="7"/>
  <c r="AA56" i="7"/>
  <c r="AA20" i="7"/>
  <c r="AA58" i="7"/>
  <c r="AA26" i="7"/>
  <c r="AA34" i="7"/>
  <c r="AA64" i="7"/>
  <c r="AA16" i="7"/>
  <c r="AA24" i="7"/>
  <c r="AA22" i="7"/>
  <c r="AA60" i="7"/>
  <c r="AA42" i="7"/>
  <c r="AA50" i="7"/>
  <c r="AA40" i="7"/>
  <c r="AA48" i="7"/>
  <c r="AA67" i="7"/>
  <c r="AA46" i="7"/>
  <c r="AA54" i="7"/>
  <c r="AA38" i="7"/>
  <c r="AA18" i="7"/>
  <c r="AA44" i="7"/>
  <c r="AA14" i="7"/>
  <c r="AA12" i="7"/>
  <c r="CQ56" i="3"/>
  <c r="CQ58" i="3"/>
  <c r="CQ54" i="3"/>
  <c r="CQ59" i="3"/>
  <c r="CQ55" i="3"/>
  <c r="CQ52" i="3"/>
  <c r="CQ57" i="3"/>
  <c r="CQ53" i="3"/>
  <c r="K4" i="7"/>
  <c r="CQ25" i="3"/>
  <c r="CQ47" i="3"/>
  <c r="CQ16" i="3"/>
  <c r="CQ49" i="3"/>
  <c r="CQ26" i="3"/>
  <c r="CQ32" i="3"/>
  <c r="CQ34" i="3"/>
  <c r="CQ18" i="3"/>
  <c r="CQ51" i="3"/>
  <c r="CQ40" i="3"/>
  <c r="CQ24" i="3"/>
  <c r="CQ42" i="3"/>
  <c r="CQ41" i="3"/>
  <c r="CQ43" i="3"/>
  <c r="CQ36" i="3"/>
  <c r="CQ28" i="3"/>
  <c r="CQ20" i="3"/>
  <c r="CQ12" i="3"/>
  <c r="CQ45" i="3"/>
  <c r="CQ38" i="3"/>
  <c r="CQ30" i="3"/>
  <c r="CQ22" i="3"/>
  <c r="CQ14" i="3"/>
  <c r="CQ48" i="3"/>
  <c r="CQ31" i="3"/>
  <c r="CQ15" i="3"/>
  <c r="CQ50" i="3"/>
  <c r="CQ33" i="3"/>
  <c r="CQ17" i="3"/>
  <c r="CQ39" i="3"/>
  <c r="CQ23" i="3"/>
  <c r="K22" i="11"/>
  <c r="CQ44" i="3"/>
  <c r="CQ35" i="3"/>
  <c r="CQ27" i="3"/>
  <c r="CQ19" i="3"/>
  <c r="CQ46" i="3"/>
  <c r="CQ37" i="3"/>
  <c r="CQ29" i="3"/>
  <c r="CQ21" i="3"/>
  <c r="CQ13" i="3"/>
  <c r="AC14" i="7"/>
  <c r="AC18" i="7"/>
  <c r="AC22" i="7"/>
  <c r="AC26" i="7"/>
  <c r="AC30" i="7"/>
  <c r="AC34" i="7"/>
  <c r="AC38" i="7"/>
  <c r="AC42" i="7"/>
  <c r="AC46" i="7"/>
  <c r="AC50" i="7"/>
  <c r="AC54" i="7"/>
  <c r="AC58" i="7"/>
  <c r="AC62" i="7"/>
  <c r="AC66" i="7"/>
  <c r="AC11" i="7"/>
  <c r="AC19" i="7"/>
  <c r="AC27" i="7"/>
  <c r="AC35" i="7"/>
  <c r="AC61" i="7"/>
  <c r="AC63" i="7"/>
  <c r="AC17" i="7"/>
  <c r="AC33" i="7"/>
  <c r="AC16" i="7"/>
  <c r="AC24" i="7"/>
  <c r="AC32" i="7"/>
  <c r="AC40" i="7"/>
  <c r="AC44" i="7"/>
  <c r="AC48" i="7"/>
  <c r="AC52" i="7"/>
  <c r="AC56" i="7"/>
  <c r="AC60" i="7"/>
  <c r="AC64" i="7"/>
  <c r="AC57" i="7"/>
  <c r="AC15" i="7"/>
  <c r="AC23" i="7"/>
  <c r="AC31" i="7"/>
  <c r="AC39" i="7"/>
  <c r="E87" i="7"/>
  <c r="AC25" i="7"/>
  <c r="AC59" i="7"/>
  <c r="AC20" i="7"/>
  <c r="AC28" i="7"/>
  <c r="AC36" i="7"/>
  <c r="AC65" i="7"/>
  <c r="AC51" i="7"/>
  <c r="AC13" i="7"/>
  <c r="AC21" i="7"/>
  <c r="AC29" i="7"/>
  <c r="AC37" i="7"/>
  <c r="Z68" i="7" l="1"/>
  <c r="Z28" i="7"/>
  <c r="Z30" i="7"/>
  <c r="Z29" i="7"/>
  <c r="Z63" i="7"/>
  <c r="Z32" i="7"/>
  <c r="Z36" i="7"/>
  <c r="Z62" i="7"/>
  <c r="Z53" i="7"/>
  <c r="Z43" i="7"/>
  <c r="Z52" i="7"/>
  <c r="Z57" i="7"/>
  <c r="Z59" i="7"/>
  <c r="Z37" i="7"/>
  <c r="Z25" i="7"/>
  <c r="Z64" i="7"/>
  <c r="Z33" i="7"/>
  <c r="Z45" i="7"/>
  <c r="Z58" i="7"/>
  <c r="Z42" i="7"/>
  <c r="Z20" i="7"/>
  <c r="Z35" i="7"/>
  <c r="Z21" i="7"/>
  <c r="Z51" i="7"/>
  <c r="Z31" i="7"/>
  <c r="Z40" i="7"/>
  <c r="Z48" i="7"/>
  <c r="Z24" i="7"/>
  <c r="Z50" i="7"/>
  <c r="Z22" i="7"/>
  <c r="Z39" i="7"/>
  <c r="Z23" i="7"/>
  <c r="Z17" i="7"/>
  <c r="Z61" i="7"/>
  <c r="Z27" i="7"/>
  <c r="Z41" i="7"/>
  <c r="Z67" i="7"/>
  <c r="Z60" i="7"/>
  <c r="Z34" i="7"/>
  <c r="Z26" i="7"/>
  <c r="Z55" i="7"/>
  <c r="Z47" i="7"/>
  <c r="Z44" i="7"/>
  <c r="Z54" i="7"/>
  <c r="Z46" i="7"/>
  <c r="Z49" i="7"/>
  <c r="Z16" i="7"/>
  <c r="Z14" i="7"/>
  <c r="Z19" i="7"/>
  <c r="Z18" i="7"/>
  <c r="Z15" i="7"/>
  <c r="Z13" i="7"/>
  <c r="Z12" i="7"/>
  <c r="CP67" i="3"/>
  <c r="D77" i="15" s="1"/>
  <c r="Z56" i="7"/>
  <c r="Z66" i="7"/>
  <c r="Z65" i="7"/>
  <c r="Z38" i="7"/>
  <c r="Z11" i="7"/>
  <c r="AB42" i="3" l="1"/>
  <c r="E12" i="11"/>
  <c r="CU70" i="3" l="1"/>
  <c r="D63" i="15" s="1"/>
  <c r="CU74" i="3"/>
  <c r="D67" i="15" s="1"/>
  <c r="CU71" i="3"/>
  <c r="D64" i="15" s="1"/>
  <c r="CU72" i="3"/>
  <c r="D65" i="15" s="1"/>
  <c r="CU76" i="3"/>
  <c r="D69" i="15" s="1"/>
  <c r="CU73" i="3"/>
  <c r="D66" i="15" s="1"/>
  <c r="F61" i="12" l="1"/>
  <c r="R49" i="3" l="1"/>
  <c r="R50" i="3"/>
  <c r="X49" i="3"/>
  <c r="R47" i="3"/>
  <c r="R48" i="3"/>
  <c r="V47" i="3"/>
  <c r="V48" i="3"/>
  <c r="T47" i="3"/>
  <c r="T48" i="3"/>
  <c r="T49" i="3"/>
  <c r="T50" i="3"/>
  <c r="X47" i="3"/>
  <c r="V49" i="3"/>
  <c r="V50" i="3"/>
  <c r="CP12" i="3" l="1"/>
  <c r="CU12" i="3" l="1"/>
  <c r="CU13" i="3"/>
  <c r="D6" i="15" s="1"/>
  <c r="CU14" i="3"/>
  <c r="D7" i="15" s="1"/>
  <c r="CU15" i="3"/>
  <c r="D8" i="15" s="1"/>
  <c r="CU16" i="3"/>
  <c r="D9" i="15" s="1"/>
  <c r="CU17" i="3"/>
  <c r="D10" i="15" s="1"/>
  <c r="CU18" i="3"/>
  <c r="D11" i="15" s="1"/>
  <c r="CU19" i="3"/>
  <c r="D12" i="15" s="1"/>
  <c r="CU20" i="3"/>
  <c r="D13" i="15" s="1"/>
  <c r="CU21" i="3"/>
  <c r="D14" i="15" s="1"/>
  <c r="CU22" i="3"/>
  <c r="D15" i="15" s="1"/>
  <c r="CU23" i="3"/>
  <c r="D16" i="15" s="1"/>
  <c r="CU24" i="3"/>
  <c r="D17" i="15" s="1"/>
  <c r="CU25" i="3"/>
  <c r="D18" i="15" s="1"/>
  <c r="CU26" i="3"/>
  <c r="D19" i="15" s="1"/>
  <c r="CU27" i="3"/>
  <c r="D20" i="15" s="1"/>
  <c r="CU28" i="3"/>
  <c r="D21" i="15" s="1"/>
  <c r="CU29" i="3"/>
  <c r="D22" i="15" s="1"/>
  <c r="CU30" i="3"/>
  <c r="D23" i="15" s="1"/>
  <c r="CU31" i="3"/>
  <c r="D24" i="15" s="1"/>
  <c r="CU32" i="3"/>
  <c r="D25" i="15" s="1"/>
  <c r="CU33" i="3"/>
  <c r="D26" i="15" s="1"/>
  <c r="CU34" i="3"/>
  <c r="D27" i="15" s="1"/>
  <c r="CU35" i="3"/>
  <c r="D28" i="15" s="1"/>
  <c r="CU36" i="3"/>
  <c r="D29" i="15" s="1"/>
  <c r="CU37" i="3"/>
  <c r="D30" i="15" s="1"/>
  <c r="CU38" i="3"/>
  <c r="D31" i="15" s="1"/>
  <c r="CU39" i="3"/>
  <c r="D32" i="15" s="1"/>
  <c r="CU40" i="3"/>
  <c r="D33" i="15" s="1"/>
  <c r="CU41" i="3"/>
  <c r="D34" i="15" s="1"/>
  <c r="CU42" i="3"/>
  <c r="D35" i="15" s="1"/>
  <c r="CU43" i="3"/>
  <c r="D36" i="15" s="1"/>
  <c r="CU44" i="3"/>
  <c r="D37" i="15" s="1"/>
  <c r="CU45" i="3"/>
  <c r="D38" i="15" s="1"/>
  <c r="CU46" i="3"/>
  <c r="D39" i="15" s="1"/>
  <c r="CU47" i="3"/>
  <c r="D40" i="15" s="1"/>
  <c r="CU48" i="3"/>
  <c r="D41" i="15" s="1"/>
  <c r="CU49" i="3"/>
  <c r="D42" i="15" s="1"/>
  <c r="CU50" i="3"/>
  <c r="D43" i="15" s="1"/>
  <c r="CU51" i="3"/>
  <c r="D44" i="15" s="1"/>
  <c r="CU52" i="3"/>
  <c r="D45" i="15" s="1"/>
  <c r="CU53" i="3"/>
  <c r="D46" i="15" s="1"/>
  <c r="CU54" i="3"/>
  <c r="D47" i="15" s="1"/>
  <c r="CU55" i="3"/>
  <c r="D48" i="15" s="1"/>
  <c r="CU56" i="3"/>
  <c r="D49" i="15" s="1"/>
  <c r="CU57" i="3"/>
  <c r="D50" i="15" s="1"/>
  <c r="CU58" i="3"/>
  <c r="D51" i="15" s="1"/>
  <c r="CU59" i="3"/>
  <c r="D52" i="15" s="1"/>
  <c r="CU60" i="3"/>
  <c r="D53" i="15" s="1"/>
  <c r="CU61" i="3"/>
  <c r="D54" i="15" s="1"/>
  <c r="CU62" i="3"/>
  <c r="D55" i="15" s="1"/>
  <c r="CU63" i="3"/>
  <c r="D56" i="15" s="1"/>
  <c r="CU64" i="3"/>
  <c r="D57" i="15" s="1"/>
  <c r="CU65" i="3"/>
  <c r="D58" i="15" s="1"/>
  <c r="CU66" i="3"/>
  <c r="D59" i="15" s="1"/>
  <c r="CP13" i="3"/>
  <c r="CP14" i="3"/>
  <c r="CP15" i="3"/>
  <c r="CP16" i="3"/>
  <c r="CP17" i="3"/>
  <c r="CP18" i="3"/>
  <c r="CP19" i="3"/>
  <c r="CP20" i="3"/>
  <c r="CP21" i="3"/>
  <c r="CP22" i="3"/>
  <c r="CP23" i="3"/>
  <c r="CP24" i="3"/>
  <c r="CP25" i="3"/>
  <c r="CP26" i="3"/>
  <c r="CP27" i="3"/>
  <c r="CP28" i="3"/>
  <c r="CP29" i="3"/>
  <c r="CP30" i="3"/>
  <c r="CP31" i="3"/>
  <c r="CP32" i="3"/>
  <c r="CP33" i="3"/>
  <c r="CP34" i="3"/>
  <c r="CP35" i="3"/>
  <c r="CP36" i="3"/>
  <c r="CP37" i="3"/>
  <c r="CP38" i="3"/>
  <c r="CP39" i="3"/>
  <c r="CP40" i="3"/>
  <c r="CP41" i="3"/>
  <c r="CP42" i="3"/>
  <c r="CP43" i="3"/>
  <c r="CP44" i="3"/>
  <c r="CP45" i="3"/>
  <c r="CP46" i="3"/>
  <c r="CP47" i="3"/>
  <c r="CP48" i="3"/>
  <c r="CP49" i="3"/>
  <c r="CP50" i="3"/>
  <c r="CP51" i="3"/>
  <c r="CP52" i="3"/>
  <c r="CP53" i="3"/>
  <c r="CP54" i="3"/>
  <c r="CP55" i="3"/>
  <c r="CP56" i="3"/>
  <c r="CP57" i="3"/>
  <c r="CP58" i="3"/>
  <c r="CP59" i="3"/>
  <c r="X37" i="3"/>
  <c r="BR12" i="3"/>
  <c r="BB70" i="3" s="1"/>
  <c r="R6" i="12" s="1"/>
  <c r="L6" i="12" s="1"/>
  <c r="BS12" i="3"/>
  <c r="BB71" i="3" s="1"/>
  <c r="R7" i="12" s="1"/>
  <c r="L7" i="12" s="1"/>
  <c r="BT12" i="3"/>
  <c r="BB72" i="3" s="1"/>
  <c r="R8" i="12" s="1"/>
  <c r="BU12" i="3"/>
  <c r="BB73" i="3" s="1"/>
  <c r="R9" i="12" s="1"/>
  <c r="BR14" i="3"/>
  <c r="BB74" i="3" s="1"/>
  <c r="R10" i="12" s="1"/>
  <c r="BS14" i="3"/>
  <c r="BB75" i="3" s="1"/>
  <c r="R11" i="12" s="1"/>
  <c r="BT14" i="3"/>
  <c r="BB76" i="3" s="1"/>
  <c r="R12" i="12" s="1"/>
  <c r="BU14" i="3"/>
  <c r="BB77" i="3" s="1"/>
  <c r="R13" i="12" s="1"/>
  <c r="BR16" i="3"/>
  <c r="BB78" i="3" s="1"/>
  <c r="R14" i="12" s="1"/>
  <c r="BS16" i="3"/>
  <c r="BB79" i="3" s="1"/>
  <c r="R15" i="12" s="1"/>
  <c r="BT16" i="3"/>
  <c r="BB80" i="3" s="1"/>
  <c r="R16" i="12" s="1"/>
  <c r="BU16" i="3"/>
  <c r="BB81" i="3" s="1"/>
  <c r="R17" i="12" s="1"/>
  <c r="BR18" i="3"/>
  <c r="BB82" i="3" s="1"/>
  <c r="R18" i="12" s="1"/>
  <c r="BS18" i="3"/>
  <c r="BB83" i="3" s="1"/>
  <c r="R19" i="12" s="1"/>
  <c r="BT18" i="3"/>
  <c r="BB84" i="3" s="1"/>
  <c r="R20" i="12" s="1"/>
  <c r="BU18" i="3"/>
  <c r="BB85" i="3" s="1"/>
  <c r="R21" i="12" s="1"/>
  <c r="BR20" i="3"/>
  <c r="BB86" i="3" s="1"/>
  <c r="R22" i="12" s="1"/>
  <c r="BS20" i="3"/>
  <c r="BB87" i="3" s="1"/>
  <c r="R23" i="12" s="1"/>
  <c r="BT20" i="3"/>
  <c r="BB88" i="3" s="1"/>
  <c r="R24" i="12" s="1"/>
  <c r="BU20" i="3"/>
  <c r="BB89" i="3" s="1"/>
  <c r="R25" i="12" s="1"/>
  <c r="BR22" i="3"/>
  <c r="BB90" i="3" s="1"/>
  <c r="R26" i="12" s="1"/>
  <c r="BS22" i="3"/>
  <c r="BB91" i="3" s="1"/>
  <c r="R27" i="12" s="1"/>
  <c r="BT22" i="3"/>
  <c r="BB92" i="3" s="1"/>
  <c r="R28" i="12" s="1"/>
  <c r="L28" i="12" s="1"/>
  <c r="BU22" i="3"/>
  <c r="BB93" i="3" s="1"/>
  <c r="R29" i="12" s="1"/>
  <c r="BR24" i="3"/>
  <c r="BB94" i="3" s="1"/>
  <c r="R30" i="12" s="1"/>
  <c r="BS24" i="3"/>
  <c r="BB95" i="3" s="1"/>
  <c r="R31" i="12" s="1"/>
  <c r="L31" i="12" s="1"/>
  <c r="BT24" i="3"/>
  <c r="BB96" i="3" s="1"/>
  <c r="R32" i="12" s="1"/>
  <c r="BU24" i="3"/>
  <c r="BB97" i="3" s="1"/>
  <c r="R33" i="12" s="1"/>
  <c r="L33" i="12" s="1"/>
  <c r="BR26" i="3"/>
  <c r="BB98" i="3" s="1"/>
  <c r="R34" i="12" s="1"/>
  <c r="Q34" i="12" s="1"/>
  <c r="BS26" i="3"/>
  <c r="BB99" i="3" s="1"/>
  <c r="R35" i="12" s="1"/>
  <c r="K35" i="12" s="1"/>
  <c r="BT26" i="3"/>
  <c r="BB100" i="3" s="1"/>
  <c r="R36" i="12" s="1"/>
  <c r="K36" i="12" s="1"/>
  <c r="BU26" i="3"/>
  <c r="Y41" i="3" s="1"/>
  <c r="BR28" i="3"/>
  <c r="BB102" i="3" s="1"/>
  <c r="R38" i="12" s="1"/>
  <c r="Q38" i="12" s="1"/>
  <c r="BS28" i="3"/>
  <c r="BB103" i="3" s="1"/>
  <c r="R39" i="12" s="1"/>
  <c r="K39" i="12" s="1"/>
  <c r="BT28" i="3"/>
  <c r="BB104" i="3" s="1"/>
  <c r="R40" i="12" s="1"/>
  <c r="L40" i="12" s="1"/>
  <c r="BU28" i="3"/>
  <c r="BB105" i="3" s="1"/>
  <c r="R41" i="12" s="1"/>
  <c r="Q41" i="12" s="1"/>
  <c r="BR30" i="3"/>
  <c r="BB106" i="3" s="1"/>
  <c r="R42" i="12" s="1"/>
  <c r="L42" i="12" s="1"/>
  <c r="BS30" i="3"/>
  <c r="BB107" i="3" s="1"/>
  <c r="R43" i="12" s="1"/>
  <c r="Q43" i="12" s="1"/>
  <c r="BT30" i="3"/>
  <c r="BB108" i="3" s="1"/>
  <c r="R44" i="12" s="1"/>
  <c r="L44" i="12" s="1"/>
  <c r="BU30" i="3"/>
  <c r="BB109" i="3" s="1"/>
  <c r="R45" i="12" s="1"/>
  <c r="Q45" i="12" s="1"/>
  <c r="BR32" i="3"/>
  <c r="S47" i="3" s="1"/>
  <c r="BS32" i="3"/>
  <c r="U47" i="3" s="1"/>
  <c r="BT32" i="3"/>
  <c r="BB112" i="3" s="1"/>
  <c r="R48" i="12" s="1"/>
  <c r="BU32" i="3"/>
  <c r="Y47" i="3" s="1"/>
  <c r="BR34" i="3"/>
  <c r="S49" i="3" s="1"/>
  <c r="BS34" i="3"/>
  <c r="U49" i="3" s="1"/>
  <c r="BT34" i="3"/>
  <c r="W49" i="3" s="1"/>
  <c r="BU34" i="3"/>
  <c r="Y49" i="3" s="1"/>
  <c r="BU70" i="3"/>
  <c r="BX70" i="3" s="1"/>
  <c r="BU71" i="3"/>
  <c r="BX71" i="3" s="1"/>
  <c r="BU72" i="3"/>
  <c r="BX72" i="3" s="1"/>
  <c r="BU73" i="3"/>
  <c r="BX73" i="3" s="1"/>
  <c r="BU74" i="3"/>
  <c r="BX74" i="3" s="1"/>
  <c r="BU75" i="3"/>
  <c r="BX75" i="3" s="1"/>
  <c r="BU76" i="3"/>
  <c r="BX76" i="3" s="1"/>
  <c r="BU77" i="3"/>
  <c r="BX77" i="3" s="1"/>
  <c r="BU78" i="3"/>
  <c r="BX78" i="3" s="1"/>
  <c r="BU79" i="3"/>
  <c r="BX79" i="3" s="1"/>
  <c r="BU80" i="3"/>
  <c r="BX80" i="3" s="1"/>
  <c r="BU81" i="3"/>
  <c r="BX81" i="3" s="1"/>
  <c r="BU82" i="3"/>
  <c r="BX82" i="3" s="1"/>
  <c r="BU83" i="3"/>
  <c r="BX83" i="3" s="1"/>
  <c r="BU84" i="3"/>
  <c r="BX84" i="3" s="1"/>
  <c r="BU85" i="3"/>
  <c r="BX85" i="3" s="1"/>
  <c r="BU86" i="3"/>
  <c r="BX86" i="3" s="1"/>
  <c r="BU87" i="3"/>
  <c r="BX87" i="3" s="1"/>
  <c r="BU88" i="3"/>
  <c r="BX88" i="3" s="1"/>
  <c r="BU89" i="3"/>
  <c r="BX89" i="3" s="1"/>
  <c r="BU90" i="3"/>
  <c r="BX90" i="3" s="1"/>
  <c r="BU91" i="3"/>
  <c r="BX91" i="3" s="1"/>
  <c r="BU92" i="3"/>
  <c r="BX92" i="3" s="1"/>
  <c r="BU93" i="3"/>
  <c r="BX93" i="3" s="1"/>
  <c r="BU94" i="3"/>
  <c r="BX94" i="3" s="1"/>
  <c r="BU95" i="3"/>
  <c r="BX95" i="3" s="1"/>
  <c r="BU96" i="3"/>
  <c r="BX96" i="3" s="1"/>
  <c r="BU97" i="3"/>
  <c r="BX97" i="3" s="1"/>
  <c r="BU98" i="3"/>
  <c r="BX98" i="3" s="1"/>
  <c r="BU99" i="3"/>
  <c r="BX99" i="3" s="1"/>
  <c r="BU100" i="3"/>
  <c r="BX100" i="3" s="1"/>
  <c r="BU101" i="3"/>
  <c r="BX101" i="3" s="1"/>
  <c r="BU102" i="3"/>
  <c r="BX102" i="3" s="1"/>
  <c r="BU103" i="3"/>
  <c r="BX103" i="3" s="1"/>
  <c r="BU104" i="3"/>
  <c r="BX104" i="3" s="1"/>
  <c r="BU105" i="3"/>
  <c r="BX105" i="3" s="1"/>
  <c r="BU106" i="3"/>
  <c r="BX106" i="3" s="1"/>
  <c r="BU107" i="3"/>
  <c r="BX107" i="3" s="1"/>
  <c r="BU108" i="3"/>
  <c r="BX108" i="3" s="1"/>
  <c r="BU109" i="3"/>
  <c r="BX109" i="3" s="1"/>
  <c r="BU110" i="3"/>
  <c r="BX110" i="3" s="1"/>
  <c r="BU111" i="3"/>
  <c r="BX111" i="3" s="1"/>
  <c r="BU112" i="3"/>
  <c r="BX112" i="3" s="1"/>
  <c r="BU113" i="3"/>
  <c r="BX113" i="3" s="1"/>
  <c r="BU114" i="3"/>
  <c r="BX114" i="3" s="1"/>
  <c r="BU115" i="3"/>
  <c r="BX115" i="3" s="1"/>
  <c r="BU116" i="3"/>
  <c r="BX116" i="3" s="1"/>
  <c r="BU117" i="3"/>
  <c r="BX117" i="3" s="1"/>
  <c r="S33" i="3" l="1"/>
  <c r="U37" i="3"/>
  <c r="W27" i="3"/>
  <c r="S27" i="3"/>
  <c r="W35" i="3"/>
  <c r="U29" i="3"/>
  <c r="W37" i="3"/>
  <c r="U39" i="3"/>
  <c r="W29" i="3"/>
  <c r="W33" i="3"/>
  <c r="Y37" i="3"/>
  <c r="Y35" i="3"/>
  <c r="Y33" i="3"/>
  <c r="Y31" i="3"/>
  <c r="Y39" i="3"/>
  <c r="Y29" i="3"/>
  <c r="U35" i="3"/>
  <c r="Y27" i="3"/>
  <c r="U41" i="3"/>
  <c r="W41" i="3"/>
  <c r="S37" i="3"/>
  <c r="U31" i="3"/>
  <c r="S29" i="3"/>
  <c r="S39" i="3"/>
  <c r="U33" i="3"/>
  <c r="S35" i="3"/>
  <c r="U27" i="3"/>
  <c r="S31" i="3"/>
  <c r="W31" i="3"/>
  <c r="S41" i="3"/>
  <c r="W39" i="3"/>
  <c r="S45" i="3"/>
  <c r="S43" i="3"/>
  <c r="U45" i="3"/>
  <c r="U43" i="3"/>
  <c r="Y45" i="3"/>
  <c r="BB114" i="3"/>
  <c r="R50" i="12" s="1"/>
  <c r="K50" i="12" s="1"/>
  <c r="Y43" i="3"/>
  <c r="W45" i="3"/>
  <c r="W43" i="3"/>
  <c r="BB101" i="3"/>
  <c r="R37" i="12" s="1"/>
  <c r="K37" i="12" s="1"/>
  <c r="BB117" i="3"/>
  <c r="R53" i="12" s="1"/>
  <c r="K53" i="12" s="1"/>
  <c r="CT70" i="3"/>
  <c r="CT69" i="3"/>
  <c r="CU69" i="3" s="1"/>
  <c r="D62" i="15" s="1"/>
  <c r="BB113" i="3"/>
  <c r="R49" i="12" s="1"/>
  <c r="K49" i="12" s="1"/>
  <c r="BB110" i="3"/>
  <c r="R46" i="12" s="1"/>
  <c r="K46" i="12" s="1"/>
  <c r="CT68" i="3"/>
  <c r="CU68" i="3" s="1"/>
  <c r="D61" i="15" s="1"/>
  <c r="CT67" i="3"/>
  <c r="CU67" i="3" s="1"/>
  <c r="D60" i="15" s="1"/>
  <c r="BB111" i="3"/>
  <c r="R47" i="12" s="1"/>
  <c r="L47" i="12" s="1"/>
  <c r="BB115" i="3"/>
  <c r="R51" i="12" s="1"/>
  <c r="L51" i="12" s="1"/>
  <c r="CT19" i="3"/>
  <c r="CT58" i="3"/>
  <c r="CT15" i="3"/>
  <c r="CV46" i="3"/>
  <c r="CV39" i="3"/>
  <c r="CT12" i="3"/>
  <c r="CV26" i="3"/>
  <c r="CV53" i="3"/>
  <c r="CV54" i="3"/>
  <c r="CT47" i="3"/>
  <c r="CV65" i="3"/>
  <c r="CT48" i="3"/>
  <c r="CV25" i="3"/>
  <c r="CT62" i="3"/>
  <c r="CV42" i="3"/>
  <c r="CT32" i="3"/>
  <c r="CT22" i="3"/>
  <c r="W47" i="3"/>
  <c r="CT37" i="3"/>
  <c r="CV41" i="3"/>
  <c r="CT13" i="3"/>
  <c r="CV76" i="3"/>
  <c r="CV51" i="3"/>
  <c r="CV35" i="3"/>
  <c r="CT20" i="3"/>
  <c r="CV12" i="3"/>
  <c r="CV49" i="3"/>
  <c r="CV50" i="3"/>
  <c r="CV62" i="3"/>
  <c r="CT24" i="3"/>
  <c r="CV57" i="3"/>
  <c r="CV31" i="3"/>
  <c r="CV64" i="3"/>
  <c r="CV60" i="3"/>
  <c r="CV71" i="3"/>
  <c r="CV22" i="3"/>
  <c r="CV13" i="3"/>
  <c r="CT35" i="3"/>
  <c r="CT16" i="3"/>
  <c r="CT34" i="3"/>
  <c r="CV20" i="3"/>
  <c r="CV15" i="3"/>
  <c r="CV58" i="3"/>
  <c r="CT42" i="3"/>
  <c r="CT61" i="3"/>
  <c r="CV33" i="3"/>
  <c r="CV45" i="3"/>
  <c r="CT51" i="3"/>
  <c r="CV52" i="3"/>
  <c r="CV16" i="3"/>
  <c r="CT60" i="3"/>
  <c r="CV32" i="3"/>
  <c r="CV36" i="3"/>
  <c r="CT27" i="3"/>
  <c r="CV21" i="3"/>
  <c r="CT50" i="3"/>
  <c r="CV30" i="3"/>
  <c r="CT23" i="3"/>
  <c r="CV75" i="3"/>
  <c r="CV28" i="3"/>
  <c r="CV34" i="3"/>
  <c r="CT36" i="3"/>
  <c r="CV17" i="3"/>
  <c r="CT46" i="3"/>
  <c r="D5" i="15"/>
  <c r="CT63" i="3"/>
  <c r="CV19" i="3"/>
  <c r="CT64" i="3"/>
  <c r="CT66" i="3"/>
  <c r="CV66" i="3"/>
  <c r="CV59" i="3"/>
  <c r="CT41" i="3"/>
  <c r="CV38" i="3"/>
  <c r="CT29" i="3"/>
  <c r="CV69" i="3"/>
  <c r="CT38" i="3"/>
  <c r="CT57" i="3"/>
  <c r="CV14" i="3"/>
  <c r="CT28" i="3"/>
  <c r="CT31" i="3"/>
  <c r="CT54" i="3"/>
  <c r="CT39" i="3"/>
  <c r="CT30" i="3"/>
  <c r="CT14" i="3"/>
  <c r="CT21" i="3"/>
  <c r="CV29" i="3"/>
  <c r="CT43" i="3"/>
  <c r="CV70" i="3"/>
  <c r="CV55" i="3"/>
  <c r="CV23" i="3"/>
  <c r="CV27" i="3"/>
  <c r="CV18" i="3"/>
  <c r="CT17" i="3"/>
  <c r="CT26" i="3"/>
  <c r="CV61" i="3"/>
  <c r="CV47" i="3"/>
  <c r="CT45" i="3"/>
  <c r="BB116" i="3"/>
  <c r="R52" i="12" s="1"/>
  <c r="CV37" i="3"/>
  <c r="CV68" i="3"/>
  <c r="CT65" i="3"/>
  <c r="CT33" i="3"/>
  <c r="CT56" i="3"/>
  <c r="CT40" i="3"/>
  <c r="CV24" i="3"/>
  <c r="CT59" i="3"/>
  <c r="CT18" i="3"/>
  <c r="CT44" i="3"/>
  <c r="CT55" i="3"/>
  <c r="CT25" i="3"/>
  <c r="CV67" i="3"/>
  <c r="CV56" i="3"/>
  <c r="CV74" i="3"/>
  <c r="CV48" i="3"/>
  <c r="CV73" i="3"/>
  <c r="CV40" i="3"/>
  <c r="CV43" i="3"/>
  <c r="CT53" i="3"/>
  <c r="CV72" i="3"/>
  <c r="CT52" i="3"/>
  <c r="CT49" i="3"/>
  <c r="CV44" i="3"/>
  <c r="CV63" i="3"/>
  <c r="CT75" i="3"/>
  <c r="CU75" i="3" s="1"/>
  <c r="Q36" i="12"/>
  <c r="K40" i="12"/>
  <c r="K45" i="12"/>
  <c r="K44" i="12"/>
  <c r="K43" i="12"/>
  <c r="K42" i="12"/>
  <c r="K41" i="12"/>
  <c r="K34" i="12"/>
  <c r="Q44" i="12"/>
  <c r="Q42" i="12"/>
  <c r="Q40" i="12"/>
  <c r="BX118" i="3"/>
  <c r="AZ48" i="3" s="1"/>
  <c r="AT10" i="3" s="1"/>
  <c r="AW41" i="3" s="1"/>
  <c r="K38" i="12"/>
  <c r="K32" i="12"/>
  <c r="Q32" i="12"/>
  <c r="K30" i="12"/>
  <c r="Q30" i="12"/>
  <c r="L45" i="12"/>
  <c r="L43" i="12"/>
  <c r="L41" i="12"/>
  <c r="L39" i="12"/>
  <c r="L35" i="12"/>
  <c r="Q28" i="12"/>
  <c r="K48" i="12"/>
  <c r="K33" i="12"/>
  <c r="Q33" i="12"/>
  <c r="K31" i="12"/>
  <c r="Q31" i="12"/>
  <c r="L48" i="12"/>
  <c r="L38" i="12"/>
  <c r="L36" i="12"/>
  <c r="L34" i="12"/>
  <c r="L32" i="12"/>
  <c r="L30" i="12"/>
  <c r="Q39" i="12"/>
  <c r="Q35" i="12"/>
  <c r="L26" i="12"/>
  <c r="L24" i="12"/>
  <c r="L22" i="12"/>
  <c r="L20" i="12"/>
  <c r="L18" i="12"/>
  <c r="L16" i="12"/>
  <c r="L14" i="12"/>
  <c r="L12" i="12"/>
  <c r="L10" i="12"/>
  <c r="L8" i="12"/>
  <c r="Q29" i="12"/>
  <c r="K29" i="12"/>
  <c r="Q27" i="12"/>
  <c r="Q25" i="12"/>
  <c r="Q23" i="12"/>
  <c r="Q21" i="12"/>
  <c r="Q19" i="12"/>
  <c r="Q17" i="12"/>
  <c r="K17" i="12"/>
  <c r="Q15" i="12"/>
  <c r="Q13" i="12"/>
  <c r="Q11" i="12"/>
  <c r="Q9" i="12"/>
  <c r="Q7" i="12"/>
  <c r="L29" i="12"/>
  <c r="L27" i="12"/>
  <c r="L25" i="12"/>
  <c r="L23" i="12"/>
  <c r="L21" i="12"/>
  <c r="L19" i="12"/>
  <c r="L17" i="12"/>
  <c r="L15" i="12"/>
  <c r="L13" i="12"/>
  <c r="L11" i="12"/>
  <c r="L9" i="12"/>
  <c r="Q6" i="12"/>
  <c r="Q26" i="12"/>
  <c r="Q24" i="12"/>
  <c r="Q22" i="12"/>
  <c r="Q20" i="12"/>
  <c r="Q18" i="12"/>
  <c r="Q16" i="12"/>
  <c r="Q14" i="12"/>
  <c r="Q12" i="12"/>
  <c r="Q10" i="12"/>
  <c r="Q8" i="12"/>
  <c r="BC56" i="3"/>
  <c r="BC58" i="3" s="1"/>
  <c r="BC59" i="3" s="1"/>
  <c r="CU79" i="3" l="1"/>
  <c r="CP68" i="3"/>
  <c r="AB43" i="3" s="1"/>
  <c r="CU81" i="3"/>
  <c r="L50" i="12"/>
  <c r="L46" i="12"/>
  <c r="K51" i="12"/>
  <c r="S22" i="12" a="1"/>
  <c r="S22" i="12" s="1"/>
  <c r="S36" i="12" a="1"/>
  <c r="S36" i="12" s="1"/>
  <c r="S19" i="12" a="1"/>
  <c r="S19" i="12" s="1"/>
  <c r="S39" i="12" a="1"/>
  <c r="S39" i="12" s="1"/>
  <c r="L37" i="12"/>
  <c r="L53" i="12"/>
  <c r="Q37" i="12"/>
  <c r="S29" i="12" a="1"/>
  <c r="S29" i="12" s="1"/>
  <c r="S40" i="12" a="1"/>
  <c r="S40" i="12" s="1"/>
  <c r="S11" i="12" a="1"/>
  <c r="S11" i="12" s="1"/>
  <c r="S27" i="12" a="1"/>
  <c r="S27" i="12" s="1"/>
  <c r="S8" i="12" a="1"/>
  <c r="S8" i="12" s="1"/>
  <c r="S14" i="12" a="1"/>
  <c r="S14" i="12" s="1"/>
  <c r="L52" i="12"/>
  <c r="S23" i="12" a="1"/>
  <c r="S23" i="12" s="1"/>
  <c r="S43" i="12" a="1"/>
  <c r="S43" i="12" s="1"/>
  <c r="S15" i="12" a="1"/>
  <c r="S15" i="12" s="1"/>
  <c r="S10" i="12" a="1"/>
  <c r="S10" i="12" s="1"/>
  <c r="S16" i="12" a="1"/>
  <c r="S16" i="12" s="1"/>
  <c r="L49" i="12"/>
  <c r="S18" i="12" a="1"/>
  <c r="S18" i="12" s="1"/>
  <c r="S24" i="12" a="1"/>
  <c r="S24" i="12" s="1"/>
  <c r="S30" i="12" a="1"/>
  <c r="S30" i="12" s="1"/>
  <c r="S49" i="12" a="1"/>
  <c r="S49" i="12" s="1"/>
  <c r="S48" i="12" a="1"/>
  <c r="S48" i="12" s="1"/>
  <c r="S47" i="12" a="1"/>
  <c r="S47" i="12" s="1"/>
  <c r="S9" i="12" a="1"/>
  <c r="S9" i="12" s="1"/>
  <c r="S13" i="12" a="1"/>
  <c r="S13" i="12" s="1"/>
  <c r="S17" i="12" a="1"/>
  <c r="S17" i="12" s="1"/>
  <c r="S21" i="12" a="1"/>
  <c r="S21" i="12" s="1"/>
  <c r="S25" i="12" a="1"/>
  <c r="S25" i="12" s="1"/>
  <c r="S31" i="12" a="1"/>
  <c r="S31" i="12" s="1"/>
  <c r="S26" i="12" a="1"/>
  <c r="S26" i="12" s="1"/>
  <c r="S7" i="12" a="1"/>
  <c r="S7" i="12" s="1"/>
  <c r="S45" i="12" a="1"/>
  <c r="S45" i="12" s="1"/>
  <c r="S46" i="12" a="1"/>
  <c r="S46" i="12" s="1"/>
  <c r="S41" i="12" a="1"/>
  <c r="S41" i="12" s="1"/>
  <c r="K47" i="12"/>
  <c r="S42" i="12" a="1"/>
  <c r="S42" i="12" s="1"/>
  <c r="S12" i="12" a="1"/>
  <c r="S12" i="12" s="1"/>
  <c r="S20" i="12" a="1"/>
  <c r="S20" i="12" s="1"/>
  <c r="S28" i="12" a="1"/>
  <c r="S28" i="12" s="1"/>
  <c r="S6" i="12" a="1"/>
  <c r="S6" i="12" s="1"/>
  <c r="S34" i="12" a="1"/>
  <c r="S34" i="12" s="1"/>
  <c r="S38" i="12" a="1"/>
  <c r="S38" i="12" s="1"/>
  <c r="S52" i="12" a="1"/>
  <c r="S52" i="12" s="1"/>
  <c r="S35" i="12" a="1"/>
  <c r="S35" i="12" s="1"/>
  <c r="S32" i="12" a="1"/>
  <c r="S32" i="12" s="1"/>
  <c r="S50" i="12" a="1"/>
  <c r="S50" i="12" s="1"/>
  <c r="AT59" i="3"/>
  <c r="AW38" i="3" s="1"/>
  <c r="K52" i="12"/>
  <c r="S44" i="12" a="1"/>
  <c r="S44" i="12" s="1"/>
  <c r="S37" i="12" a="1"/>
  <c r="S37" i="12" s="1"/>
  <c r="S51" i="12" a="1"/>
  <c r="S51" i="12" s="1"/>
  <c r="S33" i="12" a="1"/>
  <c r="S33" i="12" s="1"/>
  <c r="S53" i="12" a="1"/>
  <c r="S53" i="12" s="1"/>
  <c r="D68" i="15"/>
  <c r="CU80" i="3"/>
  <c r="CU82" i="3" s="1"/>
  <c r="D78" i="15" l="1"/>
  <c r="L9" i="11"/>
  <c r="AB45" i="3"/>
  <c r="CU83" i="3" a="1"/>
  <c r="CU83" i="3" s="1"/>
  <c r="AB46" i="3"/>
  <c r="L10" i="11"/>
  <c r="CU85" i="3" a="1"/>
  <c r="CU85" i="3" s="1"/>
  <c r="CU84" i="3" a="1"/>
  <c r="CU84" i="3" s="1"/>
  <c r="L12" i="11" l="1"/>
  <c r="AB48" i="3"/>
  <c r="AB47" i="3"/>
  <c r="L11" i="11"/>
  <c r="L13" i="11"/>
  <c r="AB49" i="3"/>
  <c r="AY45" i="3" l="1"/>
  <c r="BO70" i="3" s="1"/>
  <c r="AY56" i="3"/>
  <c r="AY58" i="3" s="1"/>
  <c r="AY59" i="3" s="1"/>
  <c r="BP130" i="3" l="1"/>
  <c r="BS130" i="3" s="1"/>
  <c r="BP133" i="3"/>
  <c r="BS133" i="3" s="1"/>
  <c r="BO85" i="3"/>
  <c r="BO121" i="3"/>
  <c r="BO105" i="3"/>
  <c r="BP131" i="3"/>
  <c r="BS131" i="3" s="1"/>
  <c r="BO126" i="3"/>
  <c r="BO113" i="3"/>
  <c r="BO114" i="3"/>
  <c r="BO134" i="3"/>
  <c r="BO130" i="3"/>
  <c r="BO119" i="3"/>
  <c r="BO101" i="3"/>
  <c r="BO123" i="3"/>
  <c r="BO115" i="3"/>
  <c r="BO106" i="3"/>
  <c r="BO97" i="3"/>
  <c r="BO75" i="3"/>
  <c r="BO91" i="3"/>
  <c r="BP135" i="3"/>
  <c r="BS135" i="3" s="1"/>
  <c r="BO128" i="3"/>
  <c r="BW77" i="3" s="1"/>
  <c r="X13" i="12" s="1"/>
  <c r="AQ9" i="12" s="1"/>
  <c r="AT14" i="12" s="1"/>
  <c r="BP132" i="3"/>
  <c r="BS132" i="3" s="1"/>
  <c r="BO125" i="3"/>
  <c r="BO118" i="3"/>
  <c r="BO109" i="3"/>
  <c r="BO98" i="3"/>
  <c r="BO83" i="3"/>
  <c r="BO135" i="3"/>
  <c r="BO132" i="3"/>
  <c r="BO122" i="3"/>
  <c r="BO117" i="3"/>
  <c r="BO110" i="3"/>
  <c r="BO102" i="3"/>
  <c r="BW91" i="3" s="1"/>
  <c r="X27" i="12" s="1"/>
  <c r="AO17" i="12" s="1"/>
  <c r="BO93" i="3"/>
  <c r="BO77" i="3"/>
  <c r="BO111" i="3"/>
  <c r="BO107" i="3"/>
  <c r="BO103" i="3"/>
  <c r="BO99" i="3"/>
  <c r="BO95" i="3"/>
  <c r="BO87" i="3"/>
  <c r="BO79" i="3"/>
  <c r="BO71" i="3"/>
  <c r="BO133" i="3"/>
  <c r="BO131" i="3"/>
  <c r="BO129" i="3"/>
  <c r="BO127" i="3"/>
  <c r="BO124" i="3"/>
  <c r="BO120" i="3"/>
  <c r="BO116" i="3"/>
  <c r="BO112" i="3"/>
  <c r="BO108" i="3"/>
  <c r="BO104" i="3"/>
  <c r="BO100" i="3"/>
  <c r="BO96" i="3"/>
  <c r="BW73" i="3" s="1"/>
  <c r="X9" i="12" s="1"/>
  <c r="AQ7" i="12" s="1"/>
  <c r="AT10" i="12" s="1"/>
  <c r="BO89" i="3"/>
  <c r="BO81" i="3"/>
  <c r="BO73" i="3"/>
  <c r="BW113" i="3"/>
  <c r="X49" i="12" s="1"/>
  <c r="AQ27" i="12" s="1"/>
  <c r="AT50" i="12" s="1"/>
  <c r="BW71" i="3"/>
  <c r="X7" i="12" s="1"/>
  <c r="AO7" i="12" s="1"/>
  <c r="BM38" i="3" s="1"/>
  <c r="BW81" i="3"/>
  <c r="X17" i="12" s="1"/>
  <c r="AQ11" i="12" s="1"/>
  <c r="AQ12" i="12" s="1"/>
  <c r="BW83" i="3"/>
  <c r="X19" i="12" s="1"/>
  <c r="AO13" i="12" s="1"/>
  <c r="BW87" i="3"/>
  <c r="X23" i="12" s="1"/>
  <c r="AO15" i="12" s="1"/>
  <c r="AO16" i="12" s="1"/>
  <c r="BW89" i="3"/>
  <c r="X25" i="12" s="1"/>
  <c r="AQ15" i="12" s="1"/>
  <c r="BO46" i="3" s="1"/>
  <c r="BW93" i="3"/>
  <c r="X29" i="12" s="1"/>
  <c r="AQ17" i="12" s="1"/>
  <c r="AT30" i="12" s="1"/>
  <c r="BW95" i="3"/>
  <c r="X31" i="12" s="1"/>
  <c r="AO19" i="12" s="1"/>
  <c r="AO20" i="12" s="1"/>
  <c r="BW97" i="3"/>
  <c r="X33" i="12" s="1"/>
  <c r="AQ19" i="12" s="1"/>
  <c r="AT34" i="12" s="1"/>
  <c r="BW99" i="3"/>
  <c r="X35" i="12" s="1"/>
  <c r="AO21" i="12" s="1"/>
  <c r="BW101" i="3"/>
  <c r="X37" i="12" s="1"/>
  <c r="AQ21" i="12" s="1"/>
  <c r="AQ22" i="12" s="1"/>
  <c r="BW103" i="3"/>
  <c r="X39" i="12" s="1"/>
  <c r="AO23" i="12" s="1"/>
  <c r="AT40" i="12" s="1"/>
  <c r="BW105" i="3"/>
  <c r="X41" i="12" s="1"/>
  <c r="AQ23" i="12" s="1"/>
  <c r="AT42" i="12" s="1"/>
  <c r="BW107" i="3"/>
  <c r="X43" i="12" s="1"/>
  <c r="AO25" i="12" s="1"/>
  <c r="AO26" i="12" s="1"/>
  <c r="BW109" i="3"/>
  <c r="X45" i="12" s="1"/>
  <c r="AQ25" i="12" s="1"/>
  <c r="AT46" i="12" s="1"/>
  <c r="BW111" i="3"/>
  <c r="X47" i="12" s="1"/>
  <c r="AO27" i="12" s="1"/>
  <c r="AT48" i="12" s="1"/>
  <c r="BW115" i="3"/>
  <c r="X51" i="12" s="1"/>
  <c r="AO29" i="12" s="1"/>
  <c r="AT52" i="12" s="1"/>
  <c r="BW117" i="3"/>
  <c r="X53" i="12" s="1"/>
  <c r="AQ29" i="12" s="1"/>
  <c r="AT54" i="12" s="1"/>
  <c r="BW70" i="3"/>
  <c r="X6" i="12" s="1"/>
  <c r="AN7" i="12" s="1"/>
  <c r="AT7" i="12" s="1"/>
  <c r="BW72" i="3"/>
  <c r="X8" i="12" s="1"/>
  <c r="AP7" i="12" s="1"/>
  <c r="AP8" i="12" s="1"/>
  <c r="BW74" i="3"/>
  <c r="X10" i="12" s="1"/>
  <c r="AN9" i="12" s="1"/>
  <c r="AN10" i="12" s="1"/>
  <c r="BW76" i="3"/>
  <c r="X12" i="12" s="1"/>
  <c r="AP9" i="12" s="1"/>
  <c r="AT13" i="12" s="1"/>
  <c r="BW78" i="3"/>
  <c r="X14" i="12" s="1"/>
  <c r="AN11" i="12" s="1"/>
  <c r="AT15" i="12" s="1"/>
  <c r="BW80" i="3"/>
  <c r="X16" i="12" s="1"/>
  <c r="AP11" i="12" s="1"/>
  <c r="AP12" i="12" s="1"/>
  <c r="BW84" i="3"/>
  <c r="X20" i="12" s="1"/>
  <c r="AP13" i="12" s="1"/>
  <c r="BN44" i="3" s="1"/>
  <c r="BW88" i="3"/>
  <c r="X24" i="12" s="1"/>
  <c r="AP15" i="12" s="1"/>
  <c r="AT25" i="12" s="1"/>
  <c r="BW90" i="3"/>
  <c r="X26" i="12" s="1"/>
  <c r="AN17" i="12" s="1"/>
  <c r="BL48" i="3" s="1"/>
  <c r="BW92" i="3"/>
  <c r="X28" i="12" s="1"/>
  <c r="AP17" i="12" s="1"/>
  <c r="AT29" i="12" s="1"/>
  <c r="BW94" i="3"/>
  <c r="X30" i="12" s="1"/>
  <c r="AN19" i="12" s="1"/>
  <c r="AN20" i="12" s="1"/>
  <c r="BW96" i="3"/>
  <c r="X32" i="12" s="1"/>
  <c r="AP19" i="12" s="1"/>
  <c r="BN50" i="3" s="1"/>
  <c r="BW98" i="3"/>
  <c r="X34" i="12" s="1"/>
  <c r="AN21" i="12" s="1"/>
  <c r="AT35" i="12" s="1"/>
  <c r="BW100" i="3"/>
  <c r="X36" i="12" s="1"/>
  <c r="AP21" i="12" s="1"/>
  <c r="AT37" i="12" s="1"/>
  <c r="BW102" i="3"/>
  <c r="X38" i="12" s="1"/>
  <c r="AN23" i="12" s="1"/>
  <c r="AT39" i="12" s="1"/>
  <c r="BW104" i="3"/>
  <c r="X40" i="12" s="1"/>
  <c r="AP23" i="12" s="1"/>
  <c r="AT41" i="12" s="1"/>
  <c r="BW106" i="3"/>
  <c r="X42" i="12" s="1"/>
  <c r="AN25" i="12" s="1"/>
  <c r="AT43" i="12" s="1"/>
  <c r="BW108" i="3"/>
  <c r="X44" i="12" s="1"/>
  <c r="AP25" i="12" s="1"/>
  <c r="AT45" i="12" s="1"/>
  <c r="BW110" i="3"/>
  <c r="X46" i="12" s="1"/>
  <c r="AN27" i="12" s="1"/>
  <c r="AT47" i="12" s="1"/>
  <c r="BW112" i="3"/>
  <c r="X48" i="12" s="1"/>
  <c r="AP27" i="12" s="1"/>
  <c r="AT49" i="12" s="1"/>
  <c r="BW114" i="3"/>
  <c r="X50" i="12" s="1"/>
  <c r="AN29" i="12" s="1"/>
  <c r="AT51" i="12" s="1"/>
  <c r="BW116" i="3"/>
  <c r="X52" i="12" s="1"/>
  <c r="AP29" i="12" s="1"/>
  <c r="AT53" i="12" s="1"/>
  <c r="BA56" i="3"/>
  <c r="BA58" i="3" s="1"/>
  <c r="BA59" i="3" s="1"/>
  <c r="BO94" i="3"/>
  <c r="BO92" i="3"/>
  <c r="BW85" i="3" s="1"/>
  <c r="X21" i="12" s="1"/>
  <c r="AQ13" i="12" s="1"/>
  <c r="AQ14" i="12" s="1"/>
  <c r="BO90" i="3"/>
  <c r="BW79" i="3" s="1"/>
  <c r="X15" i="12" s="1"/>
  <c r="AO11" i="12" s="1"/>
  <c r="AT16" i="12" s="1"/>
  <c r="BO88" i="3"/>
  <c r="BW75" i="3" s="1"/>
  <c r="X11" i="12" s="1"/>
  <c r="AO9" i="12" s="1"/>
  <c r="BO86" i="3"/>
  <c r="BW86" i="3" s="1"/>
  <c r="X22" i="12" s="1"/>
  <c r="AN15" i="12" s="1"/>
  <c r="AN16" i="12" s="1"/>
  <c r="BO84" i="3"/>
  <c r="BO82" i="3"/>
  <c r="BW82" i="3" s="1"/>
  <c r="X18" i="12" s="1"/>
  <c r="AN13" i="12" s="1"/>
  <c r="AT19" i="12" s="1"/>
  <c r="BO80" i="3"/>
  <c r="BO78" i="3"/>
  <c r="BO76" i="3"/>
  <c r="BO74" i="3"/>
  <c r="BO72" i="3"/>
  <c r="AT18" i="12" l="1"/>
  <c r="AN18" i="12"/>
  <c r="AT27" i="12"/>
  <c r="BO38" i="3"/>
  <c r="BO50" i="3"/>
  <c r="AQ20" i="12"/>
  <c r="BL56" i="3"/>
  <c r="AN26" i="12"/>
  <c r="AQ16" i="12"/>
  <c r="AO30" i="12"/>
  <c r="AN14" i="12"/>
  <c r="AT26" i="12"/>
  <c r="BO54" i="3"/>
  <c r="BL40" i="3"/>
  <c r="AQ8" i="12"/>
  <c r="BO42" i="3"/>
  <c r="AQ24" i="12"/>
  <c r="AN22" i="12"/>
  <c r="AT11" i="12"/>
  <c r="BL44" i="3"/>
  <c r="BM60" i="3"/>
  <c r="BL52" i="3"/>
  <c r="AO24" i="12"/>
  <c r="AT9" i="12"/>
  <c r="BM50" i="3"/>
  <c r="AQ26" i="12"/>
  <c r="BO48" i="3"/>
  <c r="AT38" i="12"/>
  <c r="BO58" i="3"/>
  <c r="BO40" i="3"/>
  <c r="AT22" i="12"/>
  <c r="AQ18" i="12"/>
  <c r="AQ10" i="12"/>
  <c r="BO56" i="3"/>
  <c r="AL25" i="12" a="1"/>
  <c r="AL25" i="12" s="1"/>
  <c r="AU46" i="12" s="1"/>
  <c r="BM58" i="3"/>
  <c r="BN46" i="3"/>
  <c r="AT17" i="12"/>
  <c r="AN12" i="12"/>
  <c r="AN24" i="12"/>
  <c r="AK23" i="12" a="1"/>
  <c r="AK23" i="12" s="1"/>
  <c r="AU41" i="12" s="1"/>
  <c r="BN54" i="3"/>
  <c r="BL46" i="3"/>
  <c r="AQ28" i="12"/>
  <c r="AT23" i="12"/>
  <c r="BL38" i="3"/>
  <c r="BO44" i="3"/>
  <c r="BO52" i="3"/>
  <c r="AI7" i="12" a="1"/>
  <c r="AI7" i="12" s="1"/>
  <c r="AU7" i="12" s="1"/>
  <c r="BL54" i="3"/>
  <c r="BL42" i="3"/>
  <c r="AL15" i="12" a="1"/>
  <c r="AL15" i="12" s="1"/>
  <c r="AU26" i="12" s="1"/>
  <c r="AK11" i="12" a="1"/>
  <c r="AK11" i="12" s="1"/>
  <c r="AU17" i="12" s="1"/>
  <c r="AT33" i="12"/>
  <c r="AP28" i="12"/>
  <c r="AT32" i="12"/>
  <c r="AJ23" i="12" a="1"/>
  <c r="AJ23" i="12" s="1"/>
  <c r="AU40" i="12" s="1"/>
  <c r="AJ11" i="12" a="1"/>
  <c r="AJ11" i="12" s="1"/>
  <c r="AU16" i="12" s="1"/>
  <c r="AI11" i="12" a="1"/>
  <c r="AI11" i="12" s="1"/>
  <c r="AU15" i="12" s="1"/>
  <c r="AO8" i="12"/>
  <c r="AJ7" i="12" a="1"/>
  <c r="AJ7" i="12" s="1"/>
  <c r="AU8" i="12" s="1"/>
  <c r="BN38" i="3"/>
  <c r="AP16" i="12"/>
  <c r="BM42" i="3"/>
  <c r="AK7" i="12" a="1"/>
  <c r="AK7" i="12" s="1"/>
  <c r="AU9" i="12" s="1"/>
  <c r="AL7" i="12" a="1"/>
  <c r="AL7" i="12" s="1"/>
  <c r="AU10" i="12" s="1"/>
  <c r="BM54" i="3"/>
  <c r="BN42" i="3"/>
  <c r="AP20" i="12"/>
  <c r="AO12" i="12"/>
  <c r="BM46" i="3"/>
  <c r="AL23" i="12" a="1"/>
  <c r="AL23" i="12" s="1"/>
  <c r="AU42" i="12" s="1"/>
  <c r="AI23" i="12" a="1"/>
  <c r="AI23" i="12" s="1"/>
  <c r="AU39" i="12" s="1"/>
  <c r="AL11" i="12" a="1"/>
  <c r="AL11" i="12" s="1"/>
  <c r="AU18" i="12" s="1"/>
  <c r="AT8" i="12"/>
  <c r="AO28" i="12"/>
  <c r="BN58" i="3"/>
  <c r="AT24" i="12"/>
  <c r="AP24" i="12"/>
  <c r="AK21" i="12" a="1"/>
  <c r="AK21" i="12" s="1"/>
  <c r="AU37" i="12" s="1"/>
  <c r="AK13" i="12" a="1"/>
  <c r="AK13" i="12" s="1"/>
  <c r="AU21" i="12" s="1"/>
  <c r="AO22" i="12"/>
  <c r="AP14" i="12"/>
  <c r="BN60" i="3"/>
  <c r="AT20" i="12"/>
  <c r="AJ13" i="12" a="1"/>
  <c r="AJ13" i="12" s="1"/>
  <c r="AU20" i="12" s="1"/>
  <c r="BN52" i="3"/>
  <c r="BN56" i="3"/>
  <c r="BO60" i="3"/>
  <c r="AJ25" i="12" a="1"/>
  <c r="AJ25" i="12" s="1"/>
  <c r="AU44" i="12" s="1"/>
  <c r="AI21" i="12" a="1"/>
  <c r="AI21" i="12" s="1"/>
  <c r="AU35" i="12" s="1"/>
  <c r="AL17" i="12" a="1"/>
  <c r="AL17" i="12" s="1"/>
  <c r="AU30" i="12" s="1"/>
  <c r="AI13" i="12" a="1"/>
  <c r="AI13" i="12" s="1"/>
  <c r="AU19" i="12" s="1"/>
  <c r="AL9" i="12" a="1"/>
  <c r="AL9" i="12" s="1"/>
  <c r="AU14" i="12" s="1"/>
  <c r="BN40" i="3"/>
  <c r="AT21" i="12"/>
  <c r="BN48" i="3"/>
  <c r="AJ21" i="12" a="1"/>
  <c r="AJ21" i="12" s="1"/>
  <c r="AU36" i="12" s="1"/>
  <c r="AP30" i="12"/>
  <c r="BM40" i="3"/>
  <c r="AO14" i="12"/>
  <c r="BM48" i="3"/>
  <c r="AP22" i="12"/>
  <c r="AI25" i="12" a="1"/>
  <c r="AI25" i="12" s="1"/>
  <c r="AU43" i="12" s="1"/>
  <c r="AP26" i="12"/>
  <c r="AQ30" i="12"/>
  <c r="AI9" i="12" a="1"/>
  <c r="AI9" i="12" s="1"/>
  <c r="AU11" i="12" s="1"/>
  <c r="AL13" i="12" a="1"/>
  <c r="AL13" i="12" s="1"/>
  <c r="AU22" i="12" s="1"/>
  <c r="AK17" i="12" a="1"/>
  <c r="AK17" i="12" s="1"/>
  <c r="AU29" i="12" s="1"/>
  <c r="BM52" i="3"/>
  <c r="BM56" i="3"/>
  <c r="AP10" i="12"/>
  <c r="AP18" i="12"/>
  <c r="AL21" i="12" a="1"/>
  <c r="AL21" i="12" s="1"/>
  <c r="AU38" i="12" s="1"/>
  <c r="AT12" i="12"/>
  <c r="AT28" i="12"/>
  <c r="AK25" i="12" a="1"/>
  <c r="AK25" i="12" s="1"/>
  <c r="AU45" i="12" s="1"/>
  <c r="AK9" i="12" a="1"/>
  <c r="AK9" i="12" s="1"/>
  <c r="AU13" i="12" s="1"/>
  <c r="AJ9" i="12" a="1"/>
  <c r="AJ9" i="12" s="1"/>
  <c r="AU12" i="12" s="1"/>
  <c r="AJ17" i="12" a="1"/>
  <c r="AJ17" i="12" s="1"/>
  <c r="AU28" i="12" s="1"/>
  <c r="AT36" i="12"/>
  <c r="AT44" i="12"/>
  <c r="AO10" i="12"/>
  <c r="BM44" i="3"/>
  <c r="AO18" i="12"/>
  <c r="AK29" i="12" a="1"/>
  <c r="AK29" i="12" s="1"/>
  <c r="AU53" i="12" s="1"/>
  <c r="AI17" i="12" a="1"/>
  <c r="AI17" i="12" s="1"/>
  <c r="AU27" i="12" s="1"/>
  <c r="AK19" i="12" a="1"/>
  <c r="AK19" i="12" s="1"/>
  <c r="AU33" i="12" s="1"/>
  <c r="AK15" i="12" a="1"/>
  <c r="AK15" i="12" s="1"/>
  <c r="AU25" i="12" s="1"/>
  <c r="BL50" i="3"/>
  <c r="AN8" i="12"/>
  <c r="AT31" i="12"/>
  <c r="AJ15" i="12" a="1"/>
  <c r="AJ15" i="12" s="1"/>
  <c r="AU24" i="12" s="1"/>
  <c r="AL19" i="12" a="1"/>
  <c r="AL19" i="12" s="1"/>
  <c r="AU34" i="12" s="1"/>
  <c r="AJ27" i="12" a="1"/>
  <c r="AJ27" i="12" s="1"/>
  <c r="AU48" i="12" s="1"/>
  <c r="AJ29" i="12" a="1"/>
  <c r="AJ29" i="12" s="1"/>
  <c r="AU52" i="12" s="1"/>
  <c r="AN28" i="12"/>
  <c r="AL29" i="12" a="1"/>
  <c r="AL29" i="12" s="1"/>
  <c r="AU54" i="12" s="1"/>
  <c r="BL58" i="3"/>
  <c r="AN30" i="12"/>
  <c r="BL60" i="3"/>
  <c r="AI19" i="12" a="1"/>
  <c r="AI19" i="12" s="1"/>
  <c r="AU31" i="12" s="1"/>
  <c r="AI15" i="12" a="1"/>
  <c r="AI15" i="12" s="1"/>
  <c r="AU23" i="12" s="1"/>
  <c r="AI29" i="12" a="1"/>
  <c r="AI29" i="12" s="1"/>
  <c r="AU51" i="12" s="1"/>
  <c r="AK27" i="12" a="1"/>
  <c r="AK27" i="12" s="1"/>
  <c r="AU49" i="12" s="1"/>
  <c r="AJ19" i="12" a="1"/>
  <c r="AJ19" i="12" s="1"/>
  <c r="AU32" i="12" s="1"/>
  <c r="AL27" i="12" a="1"/>
  <c r="AL27" i="12" s="1"/>
  <c r="AU50" i="12" s="1"/>
  <c r="AI27" i="12" a="1"/>
  <c r="AI27" i="12" s="1"/>
  <c r="AU47" i="12" s="1"/>
  <c r="AG20" i="12" l="1"/>
  <c r="AG19" i="12" s="1"/>
  <c r="AV34" i="12" s="1"/>
  <c r="AD16" i="12"/>
  <c r="AD15" i="12" s="1"/>
  <c r="AV23" i="12" s="1"/>
  <c r="AE16" i="12"/>
  <c r="AE15" i="12" s="1"/>
  <c r="BH46" i="3" s="1"/>
  <c r="AD12" i="12"/>
  <c r="AD11" i="12" s="1"/>
  <c r="AV15" i="12" s="1"/>
  <c r="AG14" i="12"/>
  <c r="AG13" i="12" s="1"/>
  <c r="BJ44" i="3" s="1"/>
  <c r="AG16" i="12"/>
  <c r="AG15" i="12" s="1"/>
  <c r="AV26" i="12" s="1"/>
  <c r="AF16" i="12"/>
  <c r="AF15" i="12" s="1"/>
  <c r="AV25" i="12" s="1"/>
  <c r="AE26" i="12"/>
  <c r="AE25" i="12" s="1"/>
  <c r="AV44" i="12" s="1"/>
  <c r="AE12" i="12"/>
  <c r="AE11" i="12" s="1"/>
  <c r="AV16" i="12" s="1"/>
  <c r="AF24" i="12"/>
  <c r="AF23" i="12" s="1"/>
  <c r="BI54" i="3" s="1"/>
  <c r="AG18" i="12"/>
  <c r="AG17" i="12" s="1"/>
  <c r="AV30" i="12" s="1"/>
  <c r="AF20" i="12"/>
  <c r="AF19" i="12" s="1"/>
  <c r="AV33" i="12" s="1"/>
  <c r="AE14" i="12"/>
  <c r="AE13" i="12" s="1"/>
  <c r="AV20" i="12" s="1"/>
  <c r="AE20" i="12"/>
  <c r="AE19" i="12" s="1"/>
  <c r="AV32" i="12" s="1"/>
  <c r="AD20" i="12"/>
  <c r="AD19" i="12" s="1"/>
  <c r="AV31" i="12" s="1"/>
  <c r="AG8" i="12"/>
  <c r="AG7" i="12" s="1"/>
  <c r="BJ38" i="3" s="1"/>
  <c r="AE24" i="12"/>
  <c r="AE23" i="12" s="1"/>
  <c r="AV40" i="12" s="1"/>
  <c r="AD24" i="12"/>
  <c r="AD23" i="12" s="1"/>
  <c r="AV39" i="12" s="1"/>
  <c r="AG24" i="12"/>
  <c r="AG23" i="12" s="1"/>
  <c r="AV42" i="12" s="1"/>
  <c r="AE8" i="12"/>
  <c r="AE7" i="12" s="1"/>
  <c r="AV8" i="12" s="1"/>
  <c r="AE28" i="12"/>
  <c r="AE27" i="12" s="1"/>
  <c r="AV48" i="12" s="1"/>
  <c r="AD22" i="12"/>
  <c r="AD21" i="12" s="1"/>
  <c r="AV35" i="12" s="1"/>
  <c r="AG12" i="12"/>
  <c r="AG11" i="12" s="1"/>
  <c r="AV18" i="12" s="1"/>
  <c r="AF12" i="12"/>
  <c r="AF11" i="12" s="1"/>
  <c r="AV17" i="12" s="1"/>
  <c r="AD10" i="12"/>
  <c r="AD9" i="12" s="1"/>
  <c r="AV11" i="12" s="1"/>
  <c r="AG26" i="12"/>
  <c r="AG25" i="12" s="1"/>
  <c r="AV46" i="12" s="1"/>
  <c r="AF14" i="12"/>
  <c r="AF13" i="12" s="1"/>
  <c r="BI44" i="3" s="1"/>
  <c r="AF26" i="12"/>
  <c r="AF25" i="12" s="1"/>
  <c r="AV45" i="12" s="1"/>
  <c r="AD14" i="12"/>
  <c r="AD13" i="12" s="1"/>
  <c r="AV19" i="12" s="1"/>
  <c r="AD26" i="12"/>
  <c r="AD25" i="12" s="1"/>
  <c r="AV43" i="12" s="1"/>
  <c r="AD18" i="12"/>
  <c r="AD17" i="12" s="1"/>
  <c r="BG48" i="3" s="1"/>
  <c r="AE18" i="12"/>
  <c r="AE17" i="12" s="1"/>
  <c r="AV28" i="12" s="1"/>
  <c r="AG28" i="12"/>
  <c r="AG27" i="12" s="1"/>
  <c r="AV50" i="12" s="1"/>
  <c r="AF18" i="12"/>
  <c r="AF17" i="12" s="1"/>
  <c r="AV29" i="12" s="1"/>
  <c r="AF28" i="12"/>
  <c r="AF27" i="12" s="1"/>
  <c r="AV49" i="12" s="1"/>
  <c r="AD28" i="12"/>
  <c r="AD27" i="12" s="1"/>
  <c r="AV47" i="12" s="1"/>
  <c r="AD30" i="12"/>
  <c r="AD29" i="12" s="1"/>
  <c r="AV51" i="12" s="1"/>
  <c r="AE10" i="12"/>
  <c r="AE9" i="12" s="1"/>
  <c r="BH40" i="3" s="1"/>
  <c r="AE22" i="12"/>
  <c r="AE21" i="12" s="1"/>
  <c r="BH52" i="3" s="1"/>
  <c r="AE30" i="12"/>
  <c r="AE29" i="12" s="1"/>
  <c r="AV52" i="12" s="1"/>
  <c r="AF30" i="12"/>
  <c r="AF29" i="12" s="1"/>
  <c r="AV53" i="12" s="1"/>
  <c r="AG30" i="12"/>
  <c r="AG29" i="12" s="1"/>
  <c r="AV54" i="12" s="1"/>
  <c r="AG10" i="12"/>
  <c r="AG9" i="12" s="1"/>
  <c r="AV14" i="12" s="1"/>
  <c r="AG22" i="12"/>
  <c r="AG21" i="12" s="1"/>
  <c r="AV38" i="12" s="1"/>
  <c r="AD8" i="12"/>
  <c r="AD7" i="12" s="1"/>
  <c r="AV7" i="12" s="1"/>
  <c r="AF10" i="12"/>
  <c r="AF9" i="12" s="1"/>
  <c r="AV13" i="12" s="1"/>
  <c r="AF22" i="12"/>
  <c r="AF21" i="12" s="1"/>
  <c r="BI52" i="3" s="1"/>
  <c r="AF8" i="12"/>
  <c r="AF7" i="12" s="1"/>
  <c r="BJ50" i="3" l="1"/>
  <c r="BG42" i="3"/>
  <c r="BH56" i="3"/>
  <c r="BH44" i="3"/>
  <c r="AV22" i="12"/>
  <c r="BJ46" i="3"/>
  <c r="BG46" i="3"/>
  <c r="AV24" i="12"/>
  <c r="BG50" i="3"/>
  <c r="BI46" i="3"/>
  <c r="BG44" i="3"/>
  <c r="BH42" i="3"/>
  <c r="BH58" i="3"/>
  <c r="BH54" i="3"/>
  <c r="BG40" i="3"/>
  <c r="BJ58" i="3"/>
  <c r="AV41" i="12"/>
  <c r="BH50" i="3"/>
  <c r="BG54" i="3"/>
  <c r="AV27" i="12"/>
  <c r="BJ48" i="3"/>
  <c r="BJ54" i="3"/>
  <c r="AV21" i="12"/>
  <c r="AV10" i="12"/>
  <c r="BI50" i="3"/>
  <c r="BH38" i="3"/>
  <c r="BI42" i="3"/>
  <c r="BG52" i="3"/>
  <c r="AV12" i="12"/>
  <c r="BJ56" i="3"/>
  <c r="BJ60" i="3"/>
  <c r="BG56" i="3"/>
  <c r="AV36" i="12"/>
  <c r="BI58" i="3"/>
  <c r="BJ42" i="3"/>
  <c r="BJ40" i="3"/>
  <c r="BJ52" i="3"/>
  <c r="BI56" i="3"/>
  <c r="BH48" i="3"/>
  <c r="BH60" i="3"/>
  <c r="BG58" i="3"/>
  <c r="BI48" i="3"/>
  <c r="BG60" i="3"/>
  <c r="BI60" i="3"/>
  <c r="BG38" i="3"/>
  <c r="AV37" i="12"/>
  <c r="BI38" i="3"/>
  <c r="AV9" i="12"/>
  <c r="BI40" i="3"/>
  <c r="BL12" i="3" l="1"/>
  <c r="BA70" i="3" s="1"/>
  <c r="BC70" i="3" s="1"/>
  <c r="AZ70" i="3" s="1"/>
  <c r="BM12" i="3"/>
  <c r="BA71" i="3" s="1"/>
  <c r="AY71" i="3" s="1"/>
  <c r="BN12" i="3"/>
  <c r="BA72" i="3" s="1"/>
  <c r="AY72" i="3" s="1"/>
  <c r="BO12" i="3"/>
  <c r="BL14" i="3"/>
  <c r="BA74" i="3" s="1"/>
  <c r="BC74" i="3" s="1"/>
  <c r="AZ74" i="3" s="1"/>
  <c r="BM14" i="3"/>
  <c r="BA75" i="3" s="1"/>
  <c r="AY75" i="3" s="1"/>
  <c r="BN14" i="3"/>
  <c r="BA76" i="3" s="1"/>
  <c r="AY76" i="3" s="1"/>
  <c r="BO14" i="3"/>
  <c r="BL16" i="3"/>
  <c r="BA78" i="3" s="1"/>
  <c r="AY78" i="3" s="1"/>
  <c r="BM16" i="3"/>
  <c r="BA79" i="3" s="1"/>
  <c r="AY79" i="3" s="1"/>
  <c r="BN16" i="3"/>
  <c r="BA80" i="3" s="1"/>
  <c r="AY80" i="3" s="1"/>
  <c r="BO16" i="3"/>
  <c r="BL18" i="3"/>
  <c r="BA82" i="3" s="1"/>
  <c r="AY82" i="3" s="1"/>
  <c r="BM18" i="3"/>
  <c r="BA83" i="3" s="1"/>
  <c r="AY83" i="3" s="1"/>
  <c r="BN18" i="3"/>
  <c r="BA84" i="3" s="1"/>
  <c r="BC84" i="3" s="1"/>
  <c r="AZ84" i="3" s="1"/>
  <c r="BO18" i="3"/>
  <c r="BL20" i="3"/>
  <c r="BA86" i="3" s="1"/>
  <c r="AY86" i="3" s="1"/>
  <c r="BM20" i="3"/>
  <c r="BA87" i="3" s="1"/>
  <c r="AY87" i="3" s="1"/>
  <c r="BN20" i="3"/>
  <c r="BA88" i="3" s="1"/>
  <c r="AY88" i="3" s="1"/>
  <c r="BO20" i="3"/>
  <c r="BL22" i="3"/>
  <c r="BA90" i="3" s="1"/>
  <c r="AY90" i="3" s="1"/>
  <c r="BM22" i="3"/>
  <c r="BA91" i="3" s="1"/>
  <c r="AY91" i="3" s="1"/>
  <c r="BN22" i="3"/>
  <c r="BA92" i="3" s="1"/>
  <c r="AY92" i="3" s="1"/>
  <c r="BO22" i="3"/>
  <c r="X38" i="3" s="1"/>
  <c r="BL24" i="3"/>
  <c r="BA94" i="3" s="1"/>
  <c r="AY94" i="3" s="1"/>
  <c r="BM24" i="3"/>
  <c r="BA95" i="3" s="1"/>
  <c r="BC95" i="3" s="1"/>
  <c r="AZ95" i="3" s="1"/>
  <c r="BN24" i="3"/>
  <c r="BA96" i="3" s="1"/>
  <c r="BC96" i="3" s="1"/>
  <c r="AZ96" i="3" s="1"/>
  <c r="BO24" i="3"/>
  <c r="X40" i="3" s="1"/>
  <c r="BL26" i="3"/>
  <c r="BA98" i="3" s="1"/>
  <c r="AY98" i="3" s="1"/>
  <c r="BM26" i="3"/>
  <c r="BA99" i="3" s="1"/>
  <c r="AY99" i="3" s="1"/>
  <c r="BN26" i="3"/>
  <c r="BA100" i="3" s="1"/>
  <c r="AY100" i="3" s="1"/>
  <c r="BO26" i="3"/>
  <c r="X42" i="3" s="1"/>
  <c r="BL28" i="3"/>
  <c r="BA102" i="3" s="1"/>
  <c r="AY102" i="3" s="1"/>
  <c r="BM28" i="3"/>
  <c r="BA103" i="3" s="1"/>
  <c r="BC103" i="3" s="1"/>
  <c r="AZ103" i="3" s="1"/>
  <c r="BN28" i="3"/>
  <c r="BA104" i="3" s="1"/>
  <c r="BC104" i="3" s="1"/>
  <c r="AZ104" i="3" s="1"/>
  <c r="BO28" i="3"/>
  <c r="X44" i="3" s="1"/>
  <c r="BL30" i="3"/>
  <c r="BA106" i="3" s="1"/>
  <c r="AY106" i="3" s="1"/>
  <c r="BM30" i="3"/>
  <c r="BA107" i="3" s="1"/>
  <c r="AY107" i="3" s="1"/>
  <c r="BN30" i="3"/>
  <c r="BA108" i="3" s="1"/>
  <c r="AY108" i="3" s="1"/>
  <c r="BO30" i="3"/>
  <c r="X46" i="3" s="1"/>
  <c r="BL32" i="3"/>
  <c r="BA110" i="3" s="1"/>
  <c r="AY110" i="3" s="1"/>
  <c r="BM32" i="3"/>
  <c r="BA111" i="3" s="1"/>
  <c r="AY111" i="3" s="1"/>
  <c r="BN32" i="3"/>
  <c r="BA112" i="3" s="1"/>
  <c r="AY112" i="3" s="1"/>
  <c r="BO32" i="3"/>
  <c r="X48" i="3" s="1"/>
  <c r="BL34" i="3"/>
  <c r="BA114" i="3" s="1"/>
  <c r="AY114" i="3" s="1"/>
  <c r="BM34" i="3"/>
  <c r="BA115" i="3" s="1"/>
  <c r="BC115" i="3" s="1"/>
  <c r="AZ115" i="3" s="1"/>
  <c r="BN34" i="3"/>
  <c r="BA116" i="3" s="1"/>
  <c r="BC116" i="3" s="1"/>
  <c r="AZ116" i="3" s="1"/>
  <c r="BO34" i="3"/>
  <c r="X50" i="3" s="1"/>
  <c r="BA45" i="3"/>
  <c r="BG129" i="3" s="1"/>
  <c r="BP129" i="3" s="1"/>
  <c r="BS129" i="3" s="1"/>
  <c r="X31" i="3" s="1"/>
  <c r="BG134" i="3"/>
  <c r="BP134" i="3" s="1"/>
  <c r="BS134" i="3" s="1"/>
  <c r="F6" i="12"/>
  <c r="I6" i="12"/>
  <c r="BJ71" i="3" s="1"/>
  <c r="O6" i="12"/>
  <c r="N6" i="12" s="1"/>
  <c r="F7" i="12"/>
  <c r="I7" i="12"/>
  <c r="BJ72" i="3" s="1"/>
  <c r="O7" i="12"/>
  <c r="N7" i="12" s="1"/>
  <c r="F8" i="12"/>
  <c r="I8" i="12"/>
  <c r="BJ73" i="3" s="1"/>
  <c r="O8" i="12"/>
  <c r="N8" i="12" s="1"/>
  <c r="F9" i="12"/>
  <c r="I9" i="12"/>
  <c r="BJ74" i="3" s="1"/>
  <c r="O9" i="12"/>
  <c r="N9" i="12" s="1"/>
  <c r="F10" i="12"/>
  <c r="O10" i="12"/>
  <c r="N10" i="12" s="1"/>
  <c r="F11" i="12"/>
  <c r="I11" i="12"/>
  <c r="BJ76" i="3" s="1"/>
  <c r="O11" i="12"/>
  <c r="N11" i="12" s="1"/>
  <c r="F12" i="12"/>
  <c r="I12" i="12"/>
  <c r="BJ77" i="3" s="1"/>
  <c r="O12" i="12"/>
  <c r="N12" i="12" s="1"/>
  <c r="F13" i="12"/>
  <c r="I13" i="12"/>
  <c r="BJ78" i="3" s="1"/>
  <c r="O13" i="12"/>
  <c r="N13" i="12" s="1"/>
  <c r="F14" i="12"/>
  <c r="I14" i="12"/>
  <c r="BJ79" i="3" s="1"/>
  <c r="O14" i="12"/>
  <c r="N14" i="12" s="1"/>
  <c r="F15" i="12"/>
  <c r="I15" i="12"/>
  <c r="BJ80" i="3" s="1"/>
  <c r="O15" i="12"/>
  <c r="N15" i="12" s="1"/>
  <c r="F16" i="12"/>
  <c r="O16" i="12"/>
  <c r="N16" i="12" s="1"/>
  <c r="F17" i="12"/>
  <c r="O17" i="12"/>
  <c r="N17" i="12" s="1"/>
  <c r="F18" i="12"/>
  <c r="I18" i="12"/>
  <c r="BJ83" i="3" s="1"/>
  <c r="O18" i="12"/>
  <c r="N18" i="12" s="1"/>
  <c r="F19" i="12"/>
  <c r="I19" i="12"/>
  <c r="BJ84" i="3" s="1"/>
  <c r="O19" i="12"/>
  <c r="N19" i="12" s="1"/>
  <c r="F20" i="12"/>
  <c r="I20" i="12"/>
  <c r="BJ85" i="3" s="1"/>
  <c r="O20" i="12"/>
  <c r="N20" i="12" s="1"/>
  <c r="F21" i="12"/>
  <c r="O21" i="12"/>
  <c r="N21" i="12" s="1"/>
  <c r="F22" i="12"/>
  <c r="I22" i="12"/>
  <c r="BJ87" i="3" s="1"/>
  <c r="O22" i="12"/>
  <c r="N22" i="12" s="1"/>
  <c r="F23" i="12"/>
  <c r="O23" i="12"/>
  <c r="N23" i="12" s="1"/>
  <c r="F24" i="12"/>
  <c r="I24" i="12"/>
  <c r="BJ89" i="3" s="1"/>
  <c r="O24" i="12"/>
  <c r="N24" i="12" s="1"/>
  <c r="F25" i="12"/>
  <c r="O25" i="12"/>
  <c r="N25" i="12" s="1"/>
  <c r="F26" i="12"/>
  <c r="I26" i="12"/>
  <c r="BJ91" i="3" s="1"/>
  <c r="O26" i="12"/>
  <c r="N26" i="12" s="1"/>
  <c r="F27" i="12"/>
  <c r="O27" i="12"/>
  <c r="N27" i="12" s="1"/>
  <c r="F28" i="12"/>
  <c r="I28" i="12"/>
  <c r="BJ93" i="3" s="1"/>
  <c r="O28" i="12"/>
  <c r="N28" i="12" s="1"/>
  <c r="F29" i="12"/>
  <c r="I29" i="12"/>
  <c r="BJ94" i="3" s="1"/>
  <c r="O29" i="12"/>
  <c r="N29" i="12" s="1"/>
  <c r="F30" i="12"/>
  <c r="O30" i="12"/>
  <c r="N30" i="12" s="1"/>
  <c r="F31" i="12"/>
  <c r="O31" i="12"/>
  <c r="N31" i="12" s="1"/>
  <c r="F32" i="12"/>
  <c r="I32" i="12"/>
  <c r="BJ97" i="3" s="1"/>
  <c r="O32" i="12"/>
  <c r="N32" i="12" s="1"/>
  <c r="F33" i="12"/>
  <c r="I33" i="12"/>
  <c r="BJ98" i="3" s="1"/>
  <c r="O33" i="12"/>
  <c r="N33" i="12" s="1"/>
  <c r="F34" i="12"/>
  <c r="O34" i="12"/>
  <c r="N34" i="12" s="1"/>
  <c r="F35" i="12"/>
  <c r="O35" i="12"/>
  <c r="N35" i="12" s="1"/>
  <c r="F36" i="12"/>
  <c r="O36" i="12"/>
  <c r="N36" i="12" s="1"/>
  <c r="F37" i="12"/>
  <c r="O37" i="12"/>
  <c r="N37" i="12" s="1"/>
  <c r="F38" i="12"/>
  <c r="O38" i="12"/>
  <c r="N38" i="12" s="1"/>
  <c r="F39" i="12"/>
  <c r="I39" i="12"/>
  <c r="BJ104" i="3" s="1"/>
  <c r="O39" i="12"/>
  <c r="N39" i="12" s="1"/>
  <c r="F40" i="12"/>
  <c r="I40" i="12"/>
  <c r="BJ105" i="3" s="1"/>
  <c r="O40" i="12"/>
  <c r="N40" i="12" s="1"/>
  <c r="F41" i="12"/>
  <c r="I41" i="12"/>
  <c r="BJ106" i="3" s="1"/>
  <c r="O41" i="12"/>
  <c r="N41" i="12" s="1"/>
  <c r="F42" i="12"/>
  <c r="I42" i="12"/>
  <c r="BJ107" i="3" s="1"/>
  <c r="O42" i="12"/>
  <c r="N42" i="12" s="1"/>
  <c r="F43" i="12"/>
  <c r="O43" i="12"/>
  <c r="N43" i="12" s="1"/>
  <c r="F44" i="12"/>
  <c r="I44" i="12"/>
  <c r="BJ109" i="3" s="1"/>
  <c r="O44" i="12"/>
  <c r="N44" i="12" s="1"/>
  <c r="F45" i="12"/>
  <c r="I45" i="12"/>
  <c r="BJ110" i="3" s="1"/>
  <c r="O45" i="12"/>
  <c r="N45" i="12" s="1"/>
  <c r="F46" i="12"/>
  <c r="O46" i="12"/>
  <c r="N46" i="12" s="1"/>
  <c r="F47" i="12"/>
  <c r="I47" i="12"/>
  <c r="BJ112" i="3" s="1"/>
  <c r="O47" i="12"/>
  <c r="N47" i="12" s="1"/>
  <c r="F48" i="12"/>
  <c r="I48" i="12"/>
  <c r="BJ113" i="3" s="1"/>
  <c r="O48" i="12"/>
  <c r="N48" i="12" s="1"/>
  <c r="F49" i="12"/>
  <c r="I49" i="12"/>
  <c r="BJ114" i="3" s="1"/>
  <c r="O49" i="12"/>
  <c r="N49" i="12" s="1"/>
  <c r="F50" i="12"/>
  <c r="I50" i="12"/>
  <c r="BJ115" i="3" s="1"/>
  <c r="O50" i="12"/>
  <c r="N50" i="12" s="1"/>
  <c r="F51" i="12"/>
  <c r="O51" i="12"/>
  <c r="N51" i="12" s="1"/>
  <c r="F52" i="12"/>
  <c r="I52" i="12"/>
  <c r="BJ117" i="3" s="1"/>
  <c r="O52" i="12"/>
  <c r="N52" i="12" s="1"/>
  <c r="F53" i="12"/>
  <c r="O53" i="12"/>
  <c r="N53" i="12" s="1"/>
  <c r="F54" i="12"/>
  <c r="I54" i="12"/>
  <c r="BJ119" i="3" s="1"/>
  <c r="F55" i="12"/>
  <c r="F56" i="12"/>
  <c r="I56" i="12"/>
  <c r="BJ121" i="3" s="1"/>
  <c r="F57" i="12"/>
  <c r="I57" i="12"/>
  <c r="BJ122" i="3" s="1"/>
  <c r="F58" i="12"/>
  <c r="F59" i="12"/>
  <c r="I59" i="12"/>
  <c r="BJ124" i="3" s="1"/>
  <c r="F60" i="12"/>
  <c r="I60" i="12"/>
  <c r="BJ125" i="3" s="1"/>
  <c r="F69" i="12"/>
  <c r="X32" i="3" l="1"/>
  <c r="BA81" i="3"/>
  <c r="BC81" i="3" s="1"/>
  <c r="AZ81" i="3" s="1"/>
  <c r="BA89" i="3"/>
  <c r="BC89" i="3" s="1"/>
  <c r="AZ89" i="3" s="1"/>
  <c r="BK121" i="3"/>
  <c r="BK117" i="3"/>
  <c r="BK114" i="3"/>
  <c r="BK105" i="3"/>
  <c r="BK93" i="3"/>
  <c r="BK87" i="3"/>
  <c r="BK115" i="3"/>
  <c r="BK112" i="3"/>
  <c r="BK110" i="3"/>
  <c r="BK107" i="3"/>
  <c r="BK104" i="3"/>
  <c r="BK97" i="3"/>
  <c r="BK89" i="3"/>
  <c r="BK125" i="3"/>
  <c r="BK119" i="3"/>
  <c r="BK113" i="3"/>
  <c r="BK109" i="3"/>
  <c r="BK106" i="3"/>
  <c r="BK98" i="3"/>
  <c r="BK94" i="3"/>
  <c r="BK91" i="3"/>
  <c r="BK85" i="3"/>
  <c r="BA113" i="3"/>
  <c r="BC113" i="3" s="1"/>
  <c r="AZ113" i="3" s="1"/>
  <c r="BA97" i="3"/>
  <c r="BC97" i="3" s="1"/>
  <c r="AZ97" i="3" s="1"/>
  <c r="BK84" i="3"/>
  <c r="BK83" i="3"/>
  <c r="BK80" i="3"/>
  <c r="BG84" i="3"/>
  <c r="BP84" i="3" s="1"/>
  <c r="BS84" i="3" s="1"/>
  <c r="BG128" i="3"/>
  <c r="BP128" i="3" s="1"/>
  <c r="BS128" i="3" s="1"/>
  <c r="X29" i="3" s="1"/>
  <c r="BK124" i="3"/>
  <c r="BK122" i="3"/>
  <c r="BK79" i="3"/>
  <c r="BK78" i="3"/>
  <c r="BK77" i="3"/>
  <c r="BK76" i="3"/>
  <c r="BA117" i="3"/>
  <c r="BC117" i="3" s="1"/>
  <c r="AZ117" i="3" s="1"/>
  <c r="BA109" i="3"/>
  <c r="BC109" i="3" s="1"/>
  <c r="AZ109" i="3" s="1"/>
  <c r="BA85" i="3"/>
  <c r="BC85" i="3" s="1"/>
  <c r="AZ85" i="3" s="1"/>
  <c r="BA105" i="3"/>
  <c r="BC105" i="3" s="1"/>
  <c r="AZ105" i="3" s="1"/>
  <c r="BA101" i="3"/>
  <c r="BC101" i="3" s="1"/>
  <c r="AZ101" i="3" s="1"/>
  <c r="BA93" i="3"/>
  <c r="BC93" i="3" s="1"/>
  <c r="AZ93" i="3" s="1"/>
  <c r="BG118" i="3"/>
  <c r="BP118" i="3" s="1"/>
  <c r="BS118" i="3" s="1"/>
  <c r="BG100" i="3"/>
  <c r="BP100" i="3" s="1"/>
  <c r="BS100" i="3" s="1"/>
  <c r="BG94" i="3"/>
  <c r="BP94" i="3" s="1"/>
  <c r="BS94" i="3" s="1"/>
  <c r="BG111" i="3"/>
  <c r="BP111" i="3" s="1"/>
  <c r="BS111" i="3" s="1"/>
  <c r="X35" i="3" s="1"/>
  <c r="BG122" i="3"/>
  <c r="BP122" i="3" s="1"/>
  <c r="BS122" i="3" s="1"/>
  <c r="BG113" i="3"/>
  <c r="BP113" i="3" s="1"/>
  <c r="BS113" i="3" s="1"/>
  <c r="BG80" i="3"/>
  <c r="BP80" i="3" s="1"/>
  <c r="BS80" i="3" s="1"/>
  <c r="BG125" i="3"/>
  <c r="BP125" i="3" s="1"/>
  <c r="BS125" i="3" s="1"/>
  <c r="BG121" i="3"/>
  <c r="BP121" i="3" s="1"/>
  <c r="BS121" i="3" s="1"/>
  <c r="BG117" i="3"/>
  <c r="BP117" i="3" s="1"/>
  <c r="BS117" i="3" s="1"/>
  <c r="BG115" i="3"/>
  <c r="BP115" i="3" s="1"/>
  <c r="BS115" i="3" s="1"/>
  <c r="BG108" i="3"/>
  <c r="BP108" i="3" s="1"/>
  <c r="BS108" i="3" s="1"/>
  <c r="BG106" i="3"/>
  <c r="BP106" i="3" s="1"/>
  <c r="BS106" i="3" s="1"/>
  <c r="BG96" i="3"/>
  <c r="BP96" i="3" s="1"/>
  <c r="BS96" i="3" s="1"/>
  <c r="X27" i="3" s="1"/>
  <c r="BG90" i="3"/>
  <c r="BP90" i="3" s="1"/>
  <c r="BS90" i="3" s="1"/>
  <c r="BG123" i="3"/>
  <c r="BP123" i="3" s="1"/>
  <c r="BS123" i="3" s="1"/>
  <c r="BG119" i="3"/>
  <c r="BP119" i="3" s="1"/>
  <c r="BS119" i="3" s="1"/>
  <c r="BG116" i="3"/>
  <c r="BP116" i="3" s="1"/>
  <c r="BS116" i="3" s="1"/>
  <c r="BG114" i="3"/>
  <c r="BP114" i="3" s="1"/>
  <c r="BS114" i="3" s="1"/>
  <c r="BG109" i="3"/>
  <c r="BP109" i="3" s="1"/>
  <c r="BS109" i="3" s="1"/>
  <c r="BG107" i="3"/>
  <c r="BP107" i="3" s="1"/>
  <c r="BS107" i="3" s="1"/>
  <c r="BG104" i="3"/>
  <c r="BP104" i="3" s="1"/>
  <c r="BS104" i="3" s="1"/>
  <c r="BG98" i="3"/>
  <c r="BP98" i="3" s="1"/>
  <c r="BS98" i="3" s="1"/>
  <c r="BG88" i="3"/>
  <c r="BP88" i="3" s="1"/>
  <c r="BS88" i="3" s="1"/>
  <c r="BK74" i="3"/>
  <c r="BK73" i="3"/>
  <c r="BK72" i="3"/>
  <c r="BK71" i="3"/>
  <c r="BG124" i="3"/>
  <c r="BP124" i="3" s="1"/>
  <c r="BS124" i="3" s="1"/>
  <c r="BG120" i="3"/>
  <c r="BP120" i="3" s="1"/>
  <c r="BS120" i="3" s="1"/>
  <c r="BG112" i="3"/>
  <c r="BP112" i="3" s="1"/>
  <c r="BS112" i="3" s="1"/>
  <c r="BG110" i="3"/>
  <c r="BP110" i="3" s="1"/>
  <c r="BS110" i="3" s="1"/>
  <c r="BG102" i="3"/>
  <c r="BP102" i="3" s="1"/>
  <c r="BS102" i="3" s="1"/>
  <c r="BG92" i="3"/>
  <c r="BP92" i="3" s="1"/>
  <c r="BS92" i="3" s="1"/>
  <c r="X33" i="3" s="1"/>
  <c r="BG86" i="3"/>
  <c r="BP86" i="3" s="1"/>
  <c r="BS86" i="3" s="1"/>
  <c r="BG82" i="3"/>
  <c r="BP82" i="3" s="1"/>
  <c r="BS82" i="3" s="1"/>
  <c r="BG77" i="3"/>
  <c r="BP77" i="3" s="1"/>
  <c r="BS77" i="3" s="1"/>
  <c r="BG127" i="3"/>
  <c r="BP127" i="3" s="1"/>
  <c r="BS127" i="3" s="1"/>
  <c r="BC107" i="3"/>
  <c r="AZ107" i="3" s="1"/>
  <c r="BG105" i="3"/>
  <c r="BP105" i="3" s="1"/>
  <c r="BS105" i="3" s="1"/>
  <c r="BG103" i="3"/>
  <c r="BP103" i="3" s="1"/>
  <c r="BS103" i="3" s="1"/>
  <c r="BG101" i="3"/>
  <c r="BP101" i="3" s="1"/>
  <c r="BS101" i="3" s="1"/>
  <c r="BG99" i="3"/>
  <c r="BP99" i="3" s="1"/>
  <c r="BS99" i="3" s="1"/>
  <c r="BG97" i="3"/>
  <c r="BP97" i="3" s="1"/>
  <c r="BS97" i="3" s="1"/>
  <c r="BG95" i="3"/>
  <c r="BP95" i="3" s="1"/>
  <c r="BS95" i="3" s="1"/>
  <c r="T28" i="3" s="1"/>
  <c r="BG93" i="3"/>
  <c r="BP93" i="3" s="1"/>
  <c r="BS93" i="3" s="1"/>
  <c r="BG91" i="3"/>
  <c r="BP91" i="3" s="1"/>
  <c r="BS91" i="3" s="1"/>
  <c r="BG89" i="3"/>
  <c r="BP89" i="3" s="1"/>
  <c r="BS89" i="3" s="1"/>
  <c r="BG87" i="3"/>
  <c r="BP87" i="3" s="1"/>
  <c r="BS87" i="3" s="1"/>
  <c r="BG85" i="3"/>
  <c r="BP85" i="3" s="1"/>
  <c r="BS85" i="3" s="1"/>
  <c r="BG83" i="3"/>
  <c r="BP83" i="3" s="1"/>
  <c r="BS83" i="3" s="1"/>
  <c r="BG81" i="3"/>
  <c r="BP81" i="3" s="1"/>
  <c r="BS81" i="3" s="1"/>
  <c r="BG79" i="3"/>
  <c r="BP79" i="3" s="1"/>
  <c r="BS79" i="3" s="1"/>
  <c r="BA77" i="3"/>
  <c r="BC77" i="3" s="1"/>
  <c r="AZ77" i="3" s="1"/>
  <c r="BA73" i="3"/>
  <c r="BC73" i="3" s="1"/>
  <c r="AZ73" i="3" s="1"/>
  <c r="BR38" i="3"/>
  <c r="BX38" i="3" s="1"/>
  <c r="CJ38" i="3" s="1"/>
  <c r="BG126" i="3"/>
  <c r="BP126" i="3" s="1"/>
  <c r="BS126" i="3" s="1"/>
  <c r="BG78" i="3"/>
  <c r="BP78" i="3" s="1"/>
  <c r="BS78" i="3" s="1"/>
  <c r="BG76" i="3"/>
  <c r="BP76" i="3" s="1"/>
  <c r="BS76" i="3" s="1"/>
  <c r="BS60" i="3"/>
  <c r="BY60" i="3" s="1"/>
  <c r="CE60" i="3" s="1"/>
  <c r="BG74" i="3"/>
  <c r="BP74" i="3" s="1"/>
  <c r="BS74" i="3" s="1"/>
  <c r="BG71" i="3"/>
  <c r="BP71" i="3" s="1"/>
  <c r="BS71" i="3" s="1"/>
  <c r="BR60" i="3"/>
  <c r="BX60" i="3" s="1"/>
  <c r="CD60" i="3" s="1"/>
  <c r="BG75" i="3"/>
  <c r="BP75" i="3" s="1"/>
  <c r="BS75" i="3" s="1"/>
  <c r="BG73" i="3"/>
  <c r="BP73" i="3" s="1"/>
  <c r="BS73" i="3" s="1"/>
  <c r="BG70" i="3"/>
  <c r="BP70" i="3" s="1"/>
  <c r="BS70" i="3" s="1"/>
  <c r="CK18" i="3" s="1"/>
  <c r="BR56" i="3"/>
  <c r="BX56" i="3" s="1"/>
  <c r="CD57" i="3" s="1"/>
  <c r="BG72" i="3"/>
  <c r="BP72" i="3" s="1"/>
  <c r="BS72" i="3" s="1"/>
  <c r="BK70" i="3"/>
  <c r="AW56" i="3"/>
  <c r="AW58" i="3" s="1"/>
  <c r="AW59" i="3" s="1"/>
  <c r="BT60" i="3"/>
  <c r="BZ60" i="3" s="1"/>
  <c r="BR58" i="3"/>
  <c r="BX58" i="3" s="1"/>
  <c r="E24" i="14" s="1"/>
  <c r="J16" i="15" s="1"/>
  <c r="BU60" i="3"/>
  <c r="CA60" i="3" s="1"/>
  <c r="BS58" i="3"/>
  <c r="BY58" i="3" s="1"/>
  <c r="F37" i="9" s="1"/>
  <c r="F36" i="9" s="1"/>
  <c r="BU52" i="3"/>
  <c r="CA52" i="3" s="1"/>
  <c r="I37" i="11" s="1"/>
  <c r="BT58" i="3"/>
  <c r="BZ58" i="3" s="1"/>
  <c r="G37" i="9" s="1"/>
  <c r="G36" i="9" s="1"/>
  <c r="BU56" i="3"/>
  <c r="CA56" i="3" s="1"/>
  <c r="CG57" i="3" s="1"/>
  <c r="BT54" i="3"/>
  <c r="BZ54" i="3" s="1"/>
  <c r="CL54" i="3" s="1"/>
  <c r="BU50" i="3"/>
  <c r="CA50" i="3" s="1"/>
  <c r="CG51" i="3" s="1"/>
  <c r="BR54" i="3"/>
  <c r="BX54" i="3" s="1"/>
  <c r="CD55" i="3" s="1"/>
  <c r="BU58" i="3"/>
  <c r="CA58" i="3" s="1"/>
  <c r="BS56" i="3"/>
  <c r="BY56" i="3" s="1"/>
  <c r="CK56" i="3" s="1"/>
  <c r="BS54" i="3"/>
  <c r="BY54" i="3" s="1"/>
  <c r="BR52" i="3"/>
  <c r="BX52" i="3" s="1"/>
  <c r="CD53" i="3" s="1"/>
  <c r="BT56" i="3"/>
  <c r="BZ56" i="3" s="1"/>
  <c r="BU54" i="3"/>
  <c r="CA54" i="3" s="1"/>
  <c r="BT52" i="3"/>
  <c r="BZ52" i="3" s="1"/>
  <c r="CL52" i="3" s="1"/>
  <c r="BU46" i="3"/>
  <c r="CA46" i="3" s="1"/>
  <c r="I28" i="11" s="1"/>
  <c r="BS50" i="3"/>
  <c r="BY50" i="3" s="1"/>
  <c r="CE51" i="3" s="1"/>
  <c r="BS48" i="3"/>
  <c r="BY48" i="3" s="1"/>
  <c r="F27" i="9" s="1"/>
  <c r="F26" i="9" s="1"/>
  <c r="BR46" i="3"/>
  <c r="BX46" i="3" s="1"/>
  <c r="E25" i="9" s="1"/>
  <c r="E24" i="9" s="1"/>
  <c r="BS42" i="3"/>
  <c r="BY42" i="3" s="1"/>
  <c r="F21" i="9" s="1"/>
  <c r="F20" i="9" s="1"/>
  <c r="BT48" i="3"/>
  <c r="BZ48" i="3" s="1"/>
  <c r="CL48" i="3" s="1"/>
  <c r="BT46" i="3"/>
  <c r="BZ46" i="3" s="1"/>
  <c r="CF47" i="3" s="1"/>
  <c r="AY115" i="3"/>
  <c r="BC111" i="3"/>
  <c r="AZ111" i="3" s="1"/>
  <c r="BS52" i="3"/>
  <c r="BY52" i="3" s="1"/>
  <c r="BR48" i="3"/>
  <c r="BX48" i="3" s="1"/>
  <c r="CD48" i="3" s="1"/>
  <c r="BC108" i="3"/>
  <c r="AZ108" i="3" s="1"/>
  <c r="BC79" i="3"/>
  <c r="AZ79" i="3" s="1"/>
  <c r="BC76" i="3"/>
  <c r="AZ76" i="3" s="1"/>
  <c r="AY70" i="3"/>
  <c r="BR50" i="3"/>
  <c r="BX50" i="3" s="1"/>
  <c r="CJ50" i="3" s="1"/>
  <c r="AY116" i="3"/>
  <c r="AY103" i="3"/>
  <c r="AY95" i="3"/>
  <c r="BR42" i="3"/>
  <c r="BX42" i="3" s="1"/>
  <c r="CD43" i="3" s="1"/>
  <c r="BC100" i="3"/>
  <c r="AZ100" i="3" s="1"/>
  <c r="BC88" i="3"/>
  <c r="AZ88" i="3" s="1"/>
  <c r="BC112" i="3"/>
  <c r="AZ112" i="3" s="1"/>
  <c r="AY104" i="3"/>
  <c r="BC99" i="3"/>
  <c r="AZ99" i="3" s="1"/>
  <c r="AY96" i="3"/>
  <c r="BC87" i="3"/>
  <c r="AZ87" i="3" s="1"/>
  <c r="AY84" i="3"/>
  <c r="BC80" i="3"/>
  <c r="AZ80" i="3" s="1"/>
  <c r="BC71" i="3"/>
  <c r="AZ71" i="3" s="1"/>
  <c r="BT50" i="3"/>
  <c r="BZ50" i="3" s="1"/>
  <c r="BU48" i="3"/>
  <c r="CA48" i="3" s="1"/>
  <c r="BS46" i="3"/>
  <c r="BY46" i="3" s="1"/>
  <c r="BT44" i="3"/>
  <c r="BZ44" i="3" s="1"/>
  <c r="CF44" i="3" s="1"/>
  <c r="BC92" i="3"/>
  <c r="AZ92" i="3" s="1"/>
  <c r="BC91" i="3"/>
  <c r="AZ91" i="3" s="1"/>
  <c r="BC83" i="3"/>
  <c r="AZ83" i="3" s="1"/>
  <c r="BS44" i="3"/>
  <c r="BY44" i="3" s="1"/>
  <c r="G25" i="11" s="1"/>
  <c r="G69" i="12"/>
  <c r="E69" i="12" s="1"/>
  <c r="G63" i="12"/>
  <c r="E63" i="12" s="1"/>
  <c r="G64" i="12"/>
  <c r="E64" i="12" s="1"/>
  <c r="G59" i="12"/>
  <c r="E59" i="12" s="1"/>
  <c r="G67" i="12"/>
  <c r="E67" i="12" s="1"/>
  <c r="G68" i="12"/>
  <c r="E68" i="12" s="1"/>
  <c r="G49" i="12"/>
  <c r="E49" i="12" s="1"/>
  <c r="G53" i="12"/>
  <c r="E53" i="12" s="1"/>
  <c r="G56" i="12"/>
  <c r="E56" i="12" s="1"/>
  <c r="G60" i="12"/>
  <c r="E60" i="12" s="1"/>
  <c r="G58" i="12"/>
  <c r="E58" i="12" s="1"/>
  <c r="G48" i="12"/>
  <c r="E48" i="12" s="1"/>
  <c r="G38" i="12"/>
  <c r="E38" i="12" s="1"/>
  <c r="G30" i="12"/>
  <c r="E30" i="12" s="1"/>
  <c r="G22" i="12"/>
  <c r="E22" i="12" s="1"/>
  <c r="G6" i="12"/>
  <c r="E6" i="12" s="1"/>
  <c r="G43" i="12"/>
  <c r="E43" i="12" s="1"/>
  <c r="G66" i="12"/>
  <c r="E66" i="12" s="1"/>
  <c r="G46" i="12"/>
  <c r="E46" i="12" s="1"/>
  <c r="G34" i="12"/>
  <c r="E34" i="12" s="1"/>
  <c r="G26" i="12"/>
  <c r="E26" i="12" s="1"/>
  <c r="G14" i="12"/>
  <c r="E14" i="12" s="1"/>
  <c r="G62" i="12"/>
  <c r="E62" i="12" s="1"/>
  <c r="G52" i="12"/>
  <c r="E52" i="12" s="1"/>
  <c r="G42" i="12"/>
  <c r="E42" i="12" s="1"/>
  <c r="G70" i="12"/>
  <c r="E70" i="12" s="1"/>
  <c r="G65" i="12"/>
  <c r="E65" i="12" s="1"/>
  <c r="G61" i="12"/>
  <c r="E61" i="12" s="1"/>
  <c r="G51" i="12"/>
  <c r="E51" i="12" s="1"/>
  <c r="G47" i="12"/>
  <c r="E47" i="12" s="1"/>
  <c r="G45" i="12"/>
  <c r="E45" i="12" s="1"/>
  <c r="G41" i="12"/>
  <c r="E41" i="12" s="1"/>
  <c r="G37" i="12"/>
  <c r="E37" i="12" s="1"/>
  <c r="G33" i="12"/>
  <c r="E33" i="12" s="1"/>
  <c r="G29" i="12"/>
  <c r="E29" i="12" s="1"/>
  <c r="G25" i="12"/>
  <c r="E25" i="12" s="1"/>
  <c r="G21" i="12"/>
  <c r="E21" i="12" s="1"/>
  <c r="G17" i="12"/>
  <c r="E17" i="12" s="1"/>
  <c r="G13" i="12"/>
  <c r="E13" i="12" s="1"/>
  <c r="G9" i="12"/>
  <c r="E9" i="12" s="1"/>
  <c r="BC114" i="3"/>
  <c r="AZ114" i="3" s="1"/>
  <c r="BC110" i="3"/>
  <c r="AZ110" i="3" s="1"/>
  <c r="Q46" i="12" s="1"/>
  <c r="M46" i="12" s="1"/>
  <c r="BC106" i="3"/>
  <c r="AZ106" i="3" s="1"/>
  <c r="BC102" i="3"/>
  <c r="AZ102" i="3" s="1"/>
  <c r="BC98" i="3"/>
  <c r="AZ98" i="3" s="1"/>
  <c r="BC94" i="3"/>
  <c r="AZ94" i="3" s="1"/>
  <c r="BC90" i="3"/>
  <c r="AZ90" i="3" s="1"/>
  <c r="AY89" i="3"/>
  <c r="BC86" i="3"/>
  <c r="AZ86" i="3" s="1"/>
  <c r="BC82" i="3"/>
  <c r="AZ82" i="3" s="1"/>
  <c r="BC78" i="3"/>
  <c r="AZ78" i="3" s="1"/>
  <c r="BC75" i="3"/>
  <c r="AZ75" i="3" s="1"/>
  <c r="AY74" i="3"/>
  <c r="BC72" i="3"/>
  <c r="AZ72" i="3" s="1"/>
  <c r="BU44" i="3"/>
  <c r="CA44" i="3" s="1"/>
  <c r="BT42" i="3"/>
  <c r="BZ42" i="3" s="1"/>
  <c r="BT40" i="3"/>
  <c r="BZ40" i="3" s="1"/>
  <c r="BS38" i="3"/>
  <c r="BY38" i="3" s="1"/>
  <c r="G57" i="12"/>
  <c r="E57" i="12" s="1"/>
  <c r="G55" i="12"/>
  <c r="E55" i="12" s="1"/>
  <c r="G54" i="12"/>
  <c r="E54" i="12" s="1"/>
  <c r="G50" i="12"/>
  <c r="E50" i="12" s="1"/>
  <c r="G44" i="12"/>
  <c r="E44" i="12" s="1"/>
  <c r="G40" i="12"/>
  <c r="E40" i="12" s="1"/>
  <c r="G36" i="12"/>
  <c r="E36" i="12" s="1"/>
  <c r="G32" i="12"/>
  <c r="E32" i="12" s="1"/>
  <c r="G28" i="12"/>
  <c r="E28" i="12" s="1"/>
  <c r="G24" i="12"/>
  <c r="E24" i="12" s="1"/>
  <c r="G20" i="12"/>
  <c r="E20" i="12" s="1"/>
  <c r="G16" i="12"/>
  <c r="E16" i="12" s="1"/>
  <c r="G12" i="12"/>
  <c r="E12" i="12" s="1"/>
  <c r="G8" i="12"/>
  <c r="E8" i="12" s="1"/>
  <c r="BR44" i="3"/>
  <c r="BX44" i="3" s="1"/>
  <c r="BU42" i="3"/>
  <c r="CA42" i="3" s="1"/>
  <c r="BU40" i="3"/>
  <c r="CA40" i="3" s="1"/>
  <c r="BT38" i="3"/>
  <c r="BZ38" i="3" s="1"/>
  <c r="G39" i="12"/>
  <c r="E39" i="12" s="1"/>
  <c r="G35" i="12"/>
  <c r="E35" i="12" s="1"/>
  <c r="G31" i="12"/>
  <c r="E31" i="12" s="1"/>
  <c r="G27" i="12"/>
  <c r="E27" i="12" s="1"/>
  <c r="G23" i="12"/>
  <c r="E23" i="12" s="1"/>
  <c r="G19" i="12"/>
  <c r="E19" i="12" s="1"/>
  <c r="G15" i="12"/>
  <c r="E15" i="12" s="1"/>
  <c r="G11" i="12"/>
  <c r="E11" i="12" s="1"/>
  <c r="G7" i="12"/>
  <c r="E7" i="12" s="1"/>
  <c r="BR40" i="3"/>
  <c r="BX40" i="3" s="1"/>
  <c r="BU38" i="3"/>
  <c r="CA38" i="3" s="1"/>
  <c r="G18" i="12"/>
  <c r="E18" i="12" s="1"/>
  <c r="G10" i="12"/>
  <c r="E10" i="12" s="1"/>
  <c r="BS40" i="3"/>
  <c r="BY40" i="3" s="1"/>
  <c r="K24" i="12" l="1"/>
  <c r="V35" i="3"/>
  <c r="V36" i="3"/>
  <c r="K20" i="12"/>
  <c r="V34" i="3"/>
  <c r="V33" i="3"/>
  <c r="V29" i="3"/>
  <c r="V30" i="3"/>
  <c r="K12" i="12"/>
  <c r="K8" i="12"/>
  <c r="V27" i="3"/>
  <c r="V28" i="3"/>
  <c r="K27" i="12"/>
  <c r="T37" i="3"/>
  <c r="T38" i="3"/>
  <c r="K23" i="12"/>
  <c r="T35" i="3"/>
  <c r="T36" i="3"/>
  <c r="K19" i="12"/>
  <c r="T33" i="3"/>
  <c r="T34" i="3"/>
  <c r="K15" i="12"/>
  <c r="T32" i="3"/>
  <c r="T31" i="3"/>
  <c r="T29" i="3"/>
  <c r="T30" i="3"/>
  <c r="K11" i="12"/>
  <c r="T27" i="3"/>
  <c r="R37" i="3"/>
  <c r="R38" i="3"/>
  <c r="K26" i="12"/>
  <c r="R36" i="3"/>
  <c r="R35" i="3"/>
  <c r="K22" i="12"/>
  <c r="R33" i="3"/>
  <c r="R34" i="3"/>
  <c r="K18" i="12"/>
  <c r="K14" i="12"/>
  <c r="R31" i="3"/>
  <c r="R32" i="3"/>
  <c r="K21" i="12"/>
  <c r="X34" i="3"/>
  <c r="K25" i="12"/>
  <c r="X36" i="3"/>
  <c r="K13" i="12"/>
  <c r="X30" i="3"/>
  <c r="K10" i="12"/>
  <c r="R30" i="3"/>
  <c r="R29" i="3"/>
  <c r="K16" i="12"/>
  <c r="V31" i="3"/>
  <c r="V32" i="3"/>
  <c r="V37" i="3"/>
  <c r="V38" i="3"/>
  <c r="K28" i="12"/>
  <c r="K9" i="12"/>
  <c r="X28" i="3"/>
  <c r="H29" i="9"/>
  <c r="H28" i="9" s="1"/>
  <c r="G22" i="11"/>
  <c r="E35" i="9"/>
  <c r="E34" i="9" s="1"/>
  <c r="K7" i="12"/>
  <c r="R28" i="3"/>
  <c r="R27" i="3"/>
  <c r="K6" i="12"/>
  <c r="AY113" i="3"/>
  <c r="CL12" i="3"/>
  <c r="CK20" i="3"/>
  <c r="CJ20" i="3"/>
  <c r="AY81" i="3"/>
  <c r="CL28" i="3"/>
  <c r="CK28" i="3"/>
  <c r="CK12" i="3"/>
  <c r="AY97" i="3"/>
  <c r="AY105" i="3"/>
  <c r="AY77" i="3"/>
  <c r="AY85" i="3"/>
  <c r="CL20" i="3"/>
  <c r="CM12" i="3"/>
  <c r="CM28" i="3"/>
  <c r="CJ28" i="3"/>
  <c r="CM20" i="3"/>
  <c r="CJ12" i="3"/>
  <c r="AY93" i="3"/>
  <c r="AY109" i="3"/>
  <c r="AY73" i="3"/>
  <c r="AY101" i="3"/>
  <c r="AY117" i="3"/>
  <c r="CD39" i="3"/>
  <c r="F16" i="11"/>
  <c r="E14" i="14"/>
  <c r="J6" i="15" s="1"/>
  <c r="CD38" i="3"/>
  <c r="E17" i="9"/>
  <c r="E16" i="9" s="1"/>
  <c r="CE42" i="3"/>
  <c r="CK42" i="3"/>
  <c r="CE43" i="3"/>
  <c r="F16" i="14"/>
  <c r="K8" i="15" s="1"/>
  <c r="CG50" i="3"/>
  <c r="CK30" i="3"/>
  <c r="CL22" i="3"/>
  <c r="CL14" i="3"/>
  <c r="CL30" i="3"/>
  <c r="CM22" i="3"/>
  <c r="CM14" i="3"/>
  <c r="CM30" i="3"/>
  <c r="CJ22" i="3"/>
  <c r="CJ14" i="3"/>
  <c r="CJ30" i="3"/>
  <c r="CK22" i="3"/>
  <c r="CK14" i="3"/>
  <c r="CL32" i="3"/>
  <c r="CL24" i="3"/>
  <c r="CL16" i="3"/>
  <c r="CM32" i="3"/>
  <c r="CM24" i="3"/>
  <c r="CM16" i="3"/>
  <c r="CJ32" i="3"/>
  <c r="CJ24" i="3"/>
  <c r="CJ16" i="3"/>
  <c r="CK32" i="3"/>
  <c r="CK24" i="3"/>
  <c r="CK16" i="3"/>
  <c r="CM34" i="3"/>
  <c r="CM26" i="3"/>
  <c r="CL18" i="3"/>
  <c r="CJ34" i="3"/>
  <c r="CJ26" i="3"/>
  <c r="CM18" i="3"/>
  <c r="CK34" i="3"/>
  <c r="CK26" i="3"/>
  <c r="CJ18" i="3"/>
  <c r="CL34" i="3"/>
  <c r="CL26" i="3"/>
  <c r="CM50" i="3"/>
  <c r="H21" i="14"/>
  <c r="M13" i="15" s="1"/>
  <c r="I34" i="11"/>
  <c r="CG52" i="3"/>
  <c r="CG47" i="3"/>
  <c r="CD56" i="3"/>
  <c r="H25" i="9"/>
  <c r="H24" i="9" s="1"/>
  <c r="CJ56" i="3"/>
  <c r="CG46" i="3"/>
  <c r="H18" i="14"/>
  <c r="M10" i="15" s="1"/>
  <c r="CE49" i="3"/>
  <c r="E18" i="14"/>
  <c r="J10" i="15" s="1"/>
  <c r="G31" i="11"/>
  <c r="H31" i="9"/>
  <c r="H30" i="9" s="1"/>
  <c r="CM46" i="3"/>
  <c r="CD46" i="3"/>
  <c r="H20" i="14"/>
  <c r="M12" i="15" s="1"/>
  <c r="CG53" i="3"/>
  <c r="E23" i="14"/>
  <c r="J15" i="15" s="1"/>
  <c r="CE61" i="3"/>
  <c r="CK60" i="3"/>
  <c r="F28" i="11"/>
  <c r="F39" i="9"/>
  <c r="F38" i="9" s="1"/>
  <c r="CD47" i="3"/>
  <c r="CM52" i="3"/>
  <c r="CJ46" i="3"/>
  <c r="H35" i="9"/>
  <c r="H34" i="9" s="1"/>
  <c r="CE45" i="3"/>
  <c r="CD52" i="3"/>
  <c r="F43" i="11"/>
  <c r="CK50" i="3"/>
  <c r="I43" i="11"/>
  <c r="CJ58" i="3"/>
  <c r="CD61" i="3"/>
  <c r="CF46" i="3"/>
  <c r="CD54" i="3"/>
  <c r="F49" i="11"/>
  <c r="CF45" i="3"/>
  <c r="CE44" i="3"/>
  <c r="CD42" i="3"/>
  <c r="CJ48" i="3"/>
  <c r="F19" i="14"/>
  <c r="K11" i="15" s="1"/>
  <c r="F20" i="14"/>
  <c r="K12" i="15" s="1"/>
  <c r="CM56" i="3"/>
  <c r="E25" i="14"/>
  <c r="J17" i="15" s="1"/>
  <c r="E39" i="9"/>
  <c r="E38" i="9" s="1"/>
  <c r="CJ60" i="3"/>
  <c r="CF48" i="3"/>
  <c r="CE50" i="3"/>
  <c r="E21" i="9"/>
  <c r="E20" i="9" s="1"/>
  <c r="CL46" i="3"/>
  <c r="CD49" i="3"/>
  <c r="CE48" i="3"/>
  <c r="CK48" i="3"/>
  <c r="F29" i="9"/>
  <c r="F28" i="9" s="1"/>
  <c r="CK44" i="3"/>
  <c r="G34" i="11"/>
  <c r="G49" i="11"/>
  <c r="CE58" i="3"/>
  <c r="F25" i="14"/>
  <c r="K17" i="15" s="1"/>
  <c r="CG56" i="3"/>
  <c r="CE59" i="3"/>
  <c r="G33" i="9"/>
  <c r="G32" i="9" s="1"/>
  <c r="F23" i="9"/>
  <c r="F22" i="9" s="1"/>
  <c r="F17" i="14"/>
  <c r="K9" i="15" s="1"/>
  <c r="F24" i="14"/>
  <c r="K16" i="15" s="1"/>
  <c r="E16" i="14"/>
  <c r="J8" i="15" s="1"/>
  <c r="CK58" i="3"/>
  <c r="H23" i="14"/>
  <c r="M15" i="15" s="1"/>
  <c r="CJ42" i="3"/>
  <c r="F46" i="11"/>
  <c r="CD59" i="3"/>
  <c r="F22" i="11"/>
  <c r="CL58" i="3"/>
  <c r="E37" i="9"/>
  <c r="E36" i="9" s="1"/>
  <c r="CD58" i="3"/>
  <c r="CF60" i="3"/>
  <c r="CL60" i="3"/>
  <c r="CF61" i="3"/>
  <c r="G25" i="14"/>
  <c r="L17" i="15" s="1"/>
  <c r="G39" i="9"/>
  <c r="G38" i="9" s="1"/>
  <c r="H49" i="11"/>
  <c r="G46" i="11"/>
  <c r="CG60" i="3"/>
  <c r="CM60" i="3"/>
  <c r="CG61" i="3"/>
  <c r="H25" i="14"/>
  <c r="M17" i="15" s="1"/>
  <c r="H39" i="9"/>
  <c r="H38" i="9" s="1"/>
  <c r="I49" i="11"/>
  <c r="G22" i="14"/>
  <c r="L14" i="15" s="1"/>
  <c r="CF58" i="3"/>
  <c r="CF55" i="3"/>
  <c r="G24" i="14"/>
  <c r="L16" i="15" s="1"/>
  <c r="CF54" i="3"/>
  <c r="F31" i="11"/>
  <c r="H40" i="11"/>
  <c r="H46" i="11"/>
  <c r="CF59" i="3"/>
  <c r="G25" i="9"/>
  <c r="G24" i="9" s="1"/>
  <c r="CE57" i="3"/>
  <c r="CE56" i="3"/>
  <c r="F23" i="14"/>
  <c r="K15" i="15" s="1"/>
  <c r="F35" i="9"/>
  <c r="F34" i="9" s="1"/>
  <c r="G43" i="11"/>
  <c r="CE55" i="3"/>
  <c r="CE54" i="3"/>
  <c r="F22" i="14"/>
  <c r="K14" i="15" s="1"/>
  <c r="F33" i="9"/>
  <c r="F32" i="9" s="1"/>
  <c r="G40" i="11"/>
  <c r="CK54" i="3"/>
  <c r="CJ54" i="3"/>
  <c r="E22" i="14"/>
  <c r="J14" i="15" s="1"/>
  <c r="E33" i="9"/>
  <c r="E32" i="9" s="1"/>
  <c r="F40" i="11"/>
  <c r="CG59" i="3"/>
  <c r="CG58" i="3"/>
  <c r="CM58" i="3"/>
  <c r="H24" i="14"/>
  <c r="M16" i="15" s="1"/>
  <c r="H37" i="9"/>
  <c r="H36" i="9" s="1"/>
  <c r="I46" i="11"/>
  <c r="H28" i="11"/>
  <c r="CJ52" i="3"/>
  <c r="E21" i="14"/>
  <c r="J13" i="15" s="1"/>
  <c r="F37" i="11"/>
  <c r="E31" i="9"/>
  <c r="E30" i="9" s="1"/>
  <c r="CF57" i="3"/>
  <c r="CF56" i="3"/>
  <c r="CL56" i="3"/>
  <c r="G23" i="14"/>
  <c r="L15" i="15" s="1"/>
  <c r="H43" i="11"/>
  <c r="G35" i="9"/>
  <c r="G34" i="9" s="1"/>
  <c r="CG54" i="3"/>
  <c r="CM54" i="3"/>
  <c r="CG55" i="3"/>
  <c r="H22" i="14"/>
  <c r="M14" i="15" s="1"/>
  <c r="I40" i="11"/>
  <c r="H33" i="9"/>
  <c r="H32" i="9" s="1"/>
  <c r="CF53" i="3"/>
  <c r="CF52" i="3"/>
  <c r="G21" i="14"/>
  <c r="L13" i="15" s="1"/>
  <c r="H37" i="11"/>
  <c r="G31" i="9"/>
  <c r="G30" i="9" s="1"/>
  <c r="E27" i="9"/>
  <c r="E26" i="9" s="1"/>
  <c r="CE52" i="3"/>
  <c r="CK52" i="3"/>
  <c r="CE53" i="3"/>
  <c r="G37" i="11"/>
  <c r="F31" i="9"/>
  <c r="F30" i="9" s="1"/>
  <c r="F21" i="14"/>
  <c r="K13" i="15" s="1"/>
  <c r="CF49" i="3"/>
  <c r="G19" i="14"/>
  <c r="L11" i="15" s="1"/>
  <c r="H31" i="11"/>
  <c r="G27" i="9"/>
  <c r="G26" i="9" s="1"/>
  <c r="CL44" i="3"/>
  <c r="CD51" i="3"/>
  <c r="E19" i="14"/>
  <c r="J11" i="15" s="1"/>
  <c r="G18" i="14"/>
  <c r="L10" i="15" s="1"/>
  <c r="G23" i="9"/>
  <c r="G22" i="9" s="1"/>
  <c r="H25" i="11"/>
  <c r="CD50" i="3"/>
  <c r="E20" i="14"/>
  <c r="J12" i="15" s="1"/>
  <c r="F34" i="11"/>
  <c r="E29" i="9"/>
  <c r="E28" i="9" s="1"/>
  <c r="CG48" i="3"/>
  <c r="CM48" i="3"/>
  <c r="CG49" i="3"/>
  <c r="H19" i="14"/>
  <c r="M11" i="15" s="1"/>
  <c r="H27" i="9"/>
  <c r="H26" i="9" s="1"/>
  <c r="I31" i="11"/>
  <c r="CE47" i="3"/>
  <c r="CE46" i="3"/>
  <c r="CK46" i="3"/>
  <c r="F18" i="14"/>
  <c r="K10" i="15" s="1"/>
  <c r="F25" i="9"/>
  <c r="F24" i="9" s="1"/>
  <c r="G28" i="11"/>
  <c r="CF50" i="3"/>
  <c r="CL50" i="3"/>
  <c r="CF51" i="3"/>
  <c r="G20" i="14"/>
  <c r="L12" i="15" s="1"/>
  <c r="G29" i="9"/>
  <c r="G28" i="9" s="1"/>
  <c r="H34" i="11"/>
  <c r="G17" i="14"/>
  <c r="L9" i="15" s="1"/>
  <c r="D26" i="3"/>
  <c r="CD44" i="3"/>
  <c r="CJ44" i="3"/>
  <c r="CD45" i="3"/>
  <c r="F25" i="11"/>
  <c r="E17" i="14"/>
  <c r="J9" i="15" s="1"/>
  <c r="E23" i="9"/>
  <c r="E22" i="9" s="1"/>
  <c r="H19" i="11"/>
  <c r="G15" i="14"/>
  <c r="L7" i="15" s="1"/>
  <c r="G19" i="9"/>
  <c r="G18" i="9" s="1"/>
  <c r="CF40" i="3"/>
  <c r="CL40" i="3"/>
  <c r="CF41" i="3"/>
  <c r="F42" i="3"/>
  <c r="D38" i="3"/>
  <c r="F32" i="3"/>
  <c r="B28" i="3"/>
  <c r="F47" i="3"/>
  <c r="F39" i="3"/>
  <c r="B35" i="3"/>
  <c r="D29" i="3"/>
  <c r="D46" i="3"/>
  <c r="B42" i="3"/>
  <c r="F37" i="3"/>
  <c r="B33" i="3"/>
  <c r="D27" i="3"/>
  <c r="F44" i="3"/>
  <c r="D40" i="3"/>
  <c r="B38" i="3"/>
  <c r="D32" i="3"/>
  <c r="CE40" i="3"/>
  <c r="CK40" i="3"/>
  <c r="CE41" i="3"/>
  <c r="G19" i="11"/>
  <c r="F15" i="14"/>
  <c r="K7" i="15" s="1"/>
  <c r="F19" i="9"/>
  <c r="F18" i="9" s="1"/>
  <c r="CD40" i="3"/>
  <c r="CJ40" i="3"/>
  <c r="CD41" i="3"/>
  <c r="F19" i="11"/>
  <c r="E15" i="14"/>
  <c r="J7" i="15" s="1"/>
  <c r="E19" i="9"/>
  <c r="E18" i="9" s="1"/>
  <c r="H16" i="14"/>
  <c r="M8" i="15" s="1"/>
  <c r="H21" i="9"/>
  <c r="H20" i="9" s="1"/>
  <c r="CG42" i="3"/>
  <c r="CM42" i="3"/>
  <c r="CG43" i="3"/>
  <c r="I22" i="11"/>
  <c r="CE39" i="3"/>
  <c r="G16" i="11"/>
  <c r="F14" i="14"/>
  <c r="K6" i="15" s="1"/>
  <c r="F17" i="9"/>
  <c r="F16" i="9" s="1"/>
  <c r="CE38" i="3"/>
  <c r="CK38" i="3"/>
  <c r="F43" i="3"/>
  <c r="D39" i="3"/>
  <c r="F33" i="3"/>
  <c r="B29" i="3"/>
  <c r="CA62" i="3"/>
  <c r="CP66" i="3" s="1"/>
  <c r="B44" i="3"/>
  <c r="D36" i="3"/>
  <c r="F30" i="3"/>
  <c r="F48" i="3"/>
  <c r="B43" i="3"/>
  <c r="D34" i="3"/>
  <c r="F28" i="3"/>
  <c r="F45" i="3"/>
  <c r="D41" i="3"/>
  <c r="D33" i="3"/>
  <c r="F27" i="3"/>
  <c r="H14" i="14"/>
  <c r="M6" i="15" s="1"/>
  <c r="H17" i="9"/>
  <c r="H16" i="9" s="1"/>
  <c r="CG38" i="3"/>
  <c r="CM38" i="3"/>
  <c r="CG39" i="3"/>
  <c r="I16" i="11"/>
  <c r="H15" i="14"/>
  <c r="M7" i="15" s="1"/>
  <c r="H19" i="9"/>
  <c r="H18" i="9" s="1"/>
  <c r="CG40" i="3"/>
  <c r="CM40" i="3"/>
  <c r="CG41" i="3"/>
  <c r="I19" i="11"/>
  <c r="H17" i="14"/>
  <c r="M9" i="15" s="1"/>
  <c r="H23" i="9"/>
  <c r="H22" i="9" s="1"/>
  <c r="CG44" i="3"/>
  <c r="CM44" i="3"/>
  <c r="CG45" i="3"/>
  <c r="I25" i="11"/>
  <c r="F40" i="3"/>
  <c r="B36" i="3"/>
  <c r="D30" i="3"/>
  <c r="B45" i="3"/>
  <c r="D37" i="3"/>
  <c r="F31" i="3"/>
  <c r="B27" i="3"/>
  <c r="D44" i="3"/>
  <c r="B40" i="3"/>
  <c r="D35" i="3"/>
  <c r="F29" i="3"/>
  <c r="F46" i="3"/>
  <c r="D42" i="3"/>
  <c r="F34" i="3"/>
  <c r="B30" i="3"/>
  <c r="H16" i="11"/>
  <c r="G14" i="14"/>
  <c r="L6" i="15" s="1"/>
  <c r="G17" i="9"/>
  <c r="G16" i="9" s="1"/>
  <c r="CF38" i="3"/>
  <c r="CL38" i="3"/>
  <c r="CF39" i="3"/>
  <c r="CF43" i="3"/>
  <c r="H22" i="11"/>
  <c r="G16" i="14"/>
  <c r="L8" i="15" s="1"/>
  <c r="G21" i="9"/>
  <c r="G20" i="9" s="1"/>
  <c r="CF42" i="3"/>
  <c r="CL42" i="3"/>
  <c r="F41" i="3"/>
  <c r="B37" i="3"/>
  <c r="D31" i="3"/>
  <c r="F26" i="3"/>
  <c r="B46" i="3"/>
  <c r="F38" i="3"/>
  <c r="B34" i="3"/>
  <c r="D28" i="3"/>
  <c r="D45" i="3"/>
  <c r="B41" i="3"/>
  <c r="F36" i="3"/>
  <c r="B32" i="3"/>
  <c r="B26" i="3"/>
  <c r="D43" i="3"/>
  <c r="B39" i="3"/>
  <c r="F35" i="3"/>
  <c r="B31" i="3"/>
  <c r="U6" i="12" l="1"/>
  <c r="T6" i="12" s="1"/>
  <c r="I10" i="12" s="1"/>
  <c r="BJ75" i="3" s="1"/>
  <c r="BK75" i="3" s="1"/>
  <c r="U39" i="12"/>
  <c r="T39" i="12" s="1"/>
  <c r="U41" i="12"/>
  <c r="T41" i="12" s="1"/>
  <c r="U45" i="12"/>
  <c r="T45" i="12" s="1"/>
  <c r="U34" i="12"/>
  <c r="T34" i="12" s="1"/>
  <c r="U42" i="12"/>
  <c r="T42" i="12" s="1"/>
  <c r="U11" i="12"/>
  <c r="T11" i="12" s="1"/>
  <c r="U52" i="12"/>
  <c r="T52" i="12" s="1"/>
  <c r="U36" i="12"/>
  <c r="T36" i="12" s="1"/>
  <c r="U13" i="12"/>
  <c r="T13" i="12" s="1"/>
  <c r="U20" i="12"/>
  <c r="T20" i="12" s="1"/>
  <c r="U22" i="12"/>
  <c r="T22" i="12" s="1"/>
  <c r="U50" i="12"/>
  <c r="T50" i="12" s="1"/>
  <c r="U16" i="12"/>
  <c r="T16" i="12" s="1"/>
  <c r="U8" i="12"/>
  <c r="T8" i="12" s="1"/>
  <c r="U40" i="12"/>
  <c r="T40" i="12" s="1"/>
  <c r="U7" i="12"/>
  <c r="T7" i="12" s="1"/>
  <c r="I30" i="12" s="1"/>
  <c r="BJ95" i="3" s="1"/>
  <c r="BK95" i="3" s="1"/>
  <c r="U26" i="12"/>
  <c r="T26" i="12" s="1"/>
  <c r="U21" i="12"/>
  <c r="T21" i="12" s="1"/>
  <c r="U28" i="12"/>
  <c r="T28" i="12" s="1"/>
  <c r="U14" i="12"/>
  <c r="T14" i="12" s="1"/>
  <c r="U49" i="12"/>
  <c r="T49" i="12" s="1"/>
  <c r="U37" i="12"/>
  <c r="T37" i="12" s="1"/>
  <c r="U32" i="12"/>
  <c r="T32" i="12" s="1"/>
  <c r="U18" i="12"/>
  <c r="T18" i="12" s="1"/>
  <c r="U30" i="12"/>
  <c r="T30" i="12" s="1"/>
  <c r="U53" i="12"/>
  <c r="T53" i="12" s="1"/>
  <c r="U24" i="12"/>
  <c r="T24" i="12" s="1"/>
  <c r="U25" i="12"/>
  <c r="T25" i="12" s="1"/>
  <c r="U23" i="12"/>
  <c r="T23" i="12" s="1"/>
  <c r="U10" i="12"/>
  <c r="T10" i="12" s="1"/>
  <c r="U12" i="12"/>
  <c r="T12" i="12" s="1"/>
  <c r="U35" i="12"/>
  <c r="T35" i="12" s="1"/>
  <c r="U38" i="12"/>
  <c r="T38" i="12" s="1"/>
  <c r="U19" i="12"/>
  <c r="T19" i="12" s="1"/>
  <c r="U17" i="12"/>
  <c r="T17" i="12" s="1"/>
  <c r="U47" i="12"/>
  <c r="T47" i="12" s="1"/>
  <c r="U51" i="12"/>
  <c r="T51" i="12" s="1"/>
  <c r="U43" i="12"/>
  <c r="T43" i="12" s="1"/>
  <c r="U33" i="12"/>
  <c r="T33" i="12" s="1"/>
  <c r="U29" i="12"/>
  <c r="T29" i="12" s="1"/>
  <c r="U31" i="12"/>
  <c r="T31" i="12" s="1"/>
  <c r="U44" i="12"/>
  <c r="T44" i="12" s="1"/>
  <c r="U9" i="12"/>
  <c r="T9" i="12" s="1"/>
  <c r="U27" i="12"/>
  <c r="T27" i="12" s="1"/>
  <c r="U48" i="12"/>
  <c r="T48" i="12" s="1"/>
  <c r="U15" i="12"/>
  <c r="T15" i="12" s="1"/>
  <c r="U46" i="12"/>
  <c r="T46" i="12" s="1"/>
  <c r="CP71" i="3"/>
  <c r="J19" i="15"/>
  <c r="CP72" i="3"/>
  <c r="D76" i="15"/>
  <c r="AB41" i="3"/>
  <c r="E11" i="11"/>
  <c r="I53" i="12" l="1"/>
  <c r="BJ118" i="3" s="1"/>
  <c r="BK118" i="3" s="1"/>
  <c r="I51" i="12"/>
  <c r="BJ116" i="3" s="1"/>
  <c r="BK116" i="3" s="1"/>
  <c r="I58" i="12"/>
  <c r="BJ123" i="3" s="1"/>
  <c r="BK123" i="3" s="1"/>
  <c r="I37" i="12"/>
  <c r="BJ102" i="3" s="1"/>
  <c r="BK102" i="3" s="1"/>
  <c r="I38" i="12"/>
  <c r="BJ103" i="3" s="1"/>
  <c r="BK103" i="3" s="1"/>
  <c r="I55" i="12"/>
  <c r="BJ120" i="3" s="1"/>
  <c r="BK120" i="3" s="1"/>
  <c r="I25" i="12"/>
  <c r="BJ90" i="3" s="1"/>
  <c r="BK90" i="3" s="1"/>
  <c r="I36" i="12"/>
  <c r="BJ101" i="3" s="1"/>
  <c r="BK101" i="3" s="1"/>
  <c r="I17" i="12"/>
  <c r="BJ82" i="3" s="1"/>
  <c r="BK82" i="3" s="1"/>
  <c r="I16" i="12"/>
  <c r="BJ81" i="3" s="1"/>
  <c r="BK81" i="3" s="1"/>
  <c r="I23" i="12"/>
  <c r="BJ88" i="3" s="1"/>
  <c r="BK88" i="3" s="1"/>
  <c r="I21" i="12"/>
  <c r="BJ86" i="3" s="1"/>
  <c r="BK86" i="3" s="1"/>
  <c r="I35" i="12"/>
  <c r="BJ100" i="3" s="1"/>
  <c r="BK100" i="3" s="1"/>
  <c r="I46" i="12"/>
  <c r="BJ111" i="3" s="1"/>
  <c r="BK111" i="3" s="1"/>
  <c r="I27" i="12"/>
  <c r="BJ92" i="3" s="1"/>
  <c r="BK92" i="3" s="1"/>
  <c r="I34" i="12"/>
  <c r="BJ99" i="3" s="1"/>
  <c r="BK99" i="3" s="1"/>
  <c r="I43" i="12"/>
  <c r="BJ108" i="3" s="1"/>
  <c r="BK108" i="3" s="1"/>
  <c r="CM75" i="3"/>
  <c r="Y57" i="3" s="1"/>
  <c r="I62" i="12"/>
  <c r="BJ127" i="3" s="1"/>
  <c r="BK127" i="3" s="1"/>
  <c r="I31" i="12"/>
  <c r="BJ96" i="3" s="1"/>
  <c r="BK96" i="3" s="1"/>
  <c r="I64" i="12"/>
  <c r="BJ129" i="3" s="1"/>
  <c r="BK129" i="3" s="1"/>
  <c r="I67" i="12"/>
  <c r="BJ132" i="3" s="1"/>
  <c r="BK132" i="3" s="1"/>
  <c r="I68" i="12"/>
  <c r="BJ133" i="3" s="1"/>
  <c r="BK133" i="3" s="1"/>
  <c r="I66" i="12"/>
  <c r="BJ131" i="3" s="1"/>
  <c r="BK131" i="3" s="1"/>
  <c r="I69" i="12"/>
  <c r="BJ134" i="3" s="1"/>
  <c r="BK134" i="3" s="1"/>
  <c r="I65" i="12"/>
  <c r="BJ130" i="3" s="1"/>
  <c r="BK130" i="3" s="1"/>
  <c r="I70" i="12"/>
  <c r="BJ135" i="3" s="1"/>
  <c r="BK135" i="3" s="1"/>
  <c r="I61" i="12"/>
  <c r="BJ126" i="3" s="1"/>
  <c r="BK126" i="3" s="1"/>
  <c r="I63" i="12"/>
  <c r="BJ128" i="3" s="1"/>
  <c r="BK128" i="3" s="1"/>
</calcChain>
</file>

<file path=xl/sharedStrings.xml><?xml version="1.0" encoding="utf-8"?>
<sst xmlns="http://schemas.openxmlformats.org/spreadsheetml/2006/main" count="1520" uniqueCount="886">
  <si>
    <t>No</t>
    <phoneticPr fontId="1"/>
  </si>
  <si>
    <t>氏名</t>
    <rPh sb="0" eb="2">
      <t>シメイ</t>
    </rPh>
    <phoneticPr fontId="1"/>
  </si>
  <si>
    <t>ｽｺｱ</t>
    <phoneticPr fontId="1"/>
  </si>
  <si>
    <t>開催</t>
  </si>
  <si>
    <t>回</t>
  </si>
  <si>
    <t>コース</t>
  </si>
  <si>
    <t>平均</t>
  </si>
  <si>
    <t>参加</t>
  </si>
  <si>
    <t>順位</t>
  </si>
  <si>
    <t>幹　　事</t>
  </si>
  <si>
    <t>ｽｺｱ</t>
  </si>
  <si>
    <t>回数</t>
  </si>
  <si>
    <t>50%&lt;参加</t>
  </si>
  <si>
    <t>全ﾒﾝﾊﾞ</t>
  </si>
  <si>
    <t>スコア</t>
  </si>
  <si>
    <t>参加率</t>
  </si>
  <si>
    <t>合計</t>
  </si>
  <si>
    <t>参加者</t>
  </si>
  <si>
    <t>平均スコア</t>
  </si>
  <si>
    <t>BG</t>
  </si>
  <si>
    <t>名前</t>
  </si>
  <si>
    <t>ス</t>
  </si>
  <si>
    <t>70台</t>
  </si>
  <si>
    <t>コ</t>
  </si>
  <si>
    <t>80台</t>
  </si>
  <si>
    <t>ア</t>
  </si>
  <si>
    <t>90台</t>
  </si>
  <si>
    <t>分</t>
  </si>
  <si>
    <t>100台</t>
  </si>
  <si>
    <t>布</t>
  </si>
  <si>
    <t>計</t>
  </si>
  <si>
    <t/>
  </si>
  <si>
    <t>氏名</t>
    <rPh sb="0" eb="2">
      <t>シメイ</t>
    </rPh>
    <phoneticPr fontId="9"/>
  </si>
  <si>
    <t>成績表表記</t>
    <rPh sb="0" eb="2">
      <t>セイセキ</t>
    </rPh>
    <rPh sb="2" eb="3">
      <t>ヒョウ</t>
    </rPh>
    <rPh sb="3" eb="5">
      <t>ヒョウキ</t>
    </rPh>
    <phoneticPr fontId="11"/>
  </si>
  <si>
    <t>ｽﾀｰﾄ時刻</t>
    <rPh sb="4" eb="6">
      <t>ジコク</t>
    </rPh>
    <phoneticPr fontId="1"/>
  </si>
  <si>
    <t>OUT/IN</t>
    <phoneticPr fontId="1"/>
  </si>
  <si>
    <t>組合せ表を縦行列に変換</t>
    <rPh sb="0" eb="2">
      <t>クミアワ</t>
    </rPh>
    <rPh sb="3" eb="4">
      <t>ヒョウ</t>
    </rPh>
    <rPh sb="5" eb="6">
      <t>タテ</t>
    </rPh>
    <rPh sb="6" eb="8">
      <t>ギョウレツ</t>
    </rPh>
    <rPh sb="9" eb="11">
      <t>ヘンカン</t>
    </rPh>
    <phoneticPr fontId="1"/>
  </si>
  <si>
    <t>名前のひも付け</t>
    <rPh sb="0" eb="2">
      <t>ナマエ</t>
    </rPh>
    <rPh sb="5" eb="6">
      <t>ヅ</t>
    </rPh>
    <phoneticPr fontId="1"/>
  </si>
  <si>
    <t>成績表リストの名前にスコアを挿入</t>
    <rPh sb="0" eb="2">
      <t>セイセキ</t>
    </rPh>
    <rPh sb="2" eb="3">
      <t>ヒョウ</t>
    </rPh>
    <rPh sb="7" eb="9">
      <t>ナマエ</t>
    </rPh>
    <rPh sb="14" eb="16">
      <t>ソウニュウ</t>
    </rPh>
    <phoneticPr fontId="1"/>
  </si>
  <si>
    <t>フリカナ</t>
    <phoneticPr fontId="1"/>
  </si>
  <si>
    <t>参加者</t>
    <rPh sb="0" eb="3">
      <t>サンカシャ</t>
    </rPh>
    <phoneticPr fontId="1"/>
  </si>
  <si>
    <t>スコア</t>
    <phoneticPr fontId="1"/>
  </si>
  <si>
    <t>第</t>
    <rPh sb="0" eb="1">
      <t>ダイ</t>
    </rPh>
    <phoneticPr fontId="1"/>
  </si>
  <si>
    <t>右端の方：スコア提出をお願いします</t>
    <rPh sb="0" eb="2">
      <t>ミギハシ</t>
    </rPh>
    <rPh sb="3" eb="4">
      <t>カタ</t>
    </rPh>
    <rPh sb="8" eb="10">
      <t>テイシュツ</t>
    </rPh>
    <rPh sb="12" eb="13">
      <t>ネガ</t>
    </rPh>
    <phoneticPr fontId="1"/>
  </si>
  <si>
    <t>日付：</t>
    <rPh sb="0" eb="2">
      <t>ヒヅケ</t>
    </rPh>
    <phoneticPr fontId="1"/>
  </si>
  <si>
    <t>ゴルフ場：</t>
    <rPh sb="3" eb="4">
      <t>ジョウ</t>
    </rPh>
    <phoneticPr fontId="1"/>
  </si>
  <si>
    <t>幹事：</t>
    <rPh sb="0" eb="2">
      <t>カンジ</t>
    </rPh>
    <phoneticPr fontId="1"/>
  </si>
  <si>
    <t>高崎倶楽部　組合せ表</t>
    <rPh sb="0" eb="2">
      <t>タカサキ</t>
    </rPh>
    <rPh sb="2" eb="5">
      <t>クラブ</t>
    </rPh>
    <rPh sb="6" eb="8">
      <t>クミアワ</t>
    </rPh>
    <rPh sb="9" eb="10">
      <t>ヒョウ</t>
    </rPh>
    <phoneticPr fontId="1"/>
  </si>
  <si>
    <t>右端の方がエチケットリーダです。</t>
    <rPh sb="0" eb="2">
      <t>ミギハシ</t>
    </rPh>
    <rPh sb="3" eb="4">
      <t>カタ</t>
    </rPh>
    <phoneticPr fontId="1"/>
  </si>
  <si>
    <t>ｺﾞﾙﾌ場：</t>
    <rPh sb="4" eb="5">
      <t>ジョウ</t>
    </rPh>
    <phoneticPr fontId="1"/>
  </si>
  <si>
    <t>OUT/IN</t>
    <phoneticPr fontId="1"/>
  </si>
  <si>
    <t>ｽﾀｰﾄ</t>
    <phoneticPr fontId="1"/>
  </si>
  <si>
    <t>料金(K\)</t>
  </si>
  <si>
    <r>
      <t>　　（</t>
    </r>
    <r>
      <rPr>
        <sz val="10"/>
        <rFont val="ＭＳ Ｐゴシック"/>
        <family val="3"/>
        <charset val="128"/>
        <scheme val="minor"/>
      </rPr>
      <t>参加率50%未満：＊印）</t>
    </r>
  </si>
  <si>
    <t>出席者リスト</t>
    <rPh sb="0" eb="3">
      <t>シュッセキシャ</t>
    </rPh>
    <phoneticPr fontId="1"/>
  </si>
  <si>
    <t>乱数順</t>
    <rPh sb="0" eb="2">
      <t>ランスウ</t>
    </rPh>
    <rPh sb="2" eb="3">
      <t>ジュン</t>
    </rPh>
    <phoneticPr fontId="1"/>
  </si>
  <si>
    <t>１．メンバー全員のデータベース（Q5:U60)、2015は成績表、2014は確定ﾃﾞｰﾀ、乱数はRNDで発生</t>
    <rPh sb="29" eb="31">
      <t>セイセキ</t>
    </rPh>
    <rPh sb="31" eb="32">
      <t>ヒョウ</t>
    </rPh>
    <rPh sb="38" eb="40">
      <t>カクテイ</t>
    </rPh>
    <rPh sb="45" eb="47">
      <t>ランスウ</t>
    </rPh>
    <rPh sb="52" eb="54">
      <t>ハッセイ</t>
    </rPh>
    <phoneticPr fontId="1"/>
  </si>
  <si>
    <t>２．（E6;E60)に入力画面から出席者リストをコピー</t>
    <rPh sb="11" eb="13">
      <t>ニュウリョク</t>
    </rPh>
    <rPh sb="13" eb="15">
      <t>ガメン</t>
    </rPh>
    <rPh sb="17" eb="20">
      <t>シュッセキシャ</t>
    </rPh>
    <phoneticPr fontId="1"/>
  </si>
  <si>
    <t>３．出席者に対応した成績を（Q5:U60)のデータベースからVLOOKUPで引用</t>
    <rPh sb="2" eb="5">
      <t>シュッセキシャ</t>
    </rPh>
    <rPh sb="6" eb="8">
      <t>タイオウ</t>
    </rPh>
    <rPh sb="10" eb="12">
      <t>セイセキ</t>
    </rPh>
    <rPh sb="38" eb="40">
      <t>インヨウ</t>
    </rPh>
    <phoneticPr fontId="1"/>
  </si>
  <si>
    <t>４．G列からN列で各成績を数値の少ない順に並べ替え。この値を入力画面へ。</t>
    <rPh sb="3" eb="4">
      <t>レツ</t>
    </rPh>
    <rPh sb="7" eb="8">
      <t>レツ</t>
    </rPh>
    <rPh sb="9" eb="10">
      <t>カク</t>
    </rPh>
    <rPh sb="10" eb="12">
      <t>セイセキ</t>
    </rPh>
    <rPh sb="13" eb="15">
      <t>スウチ</t>
    </rPh>
    <rPh sb="16" eb="17">
      <t>スク</t>
    </rPh>
    <rPh sb="19" eb="20">
      <t>ジュン</t>
    </rPh>
    <rPh sb="21" eb="22">
      <t>ナラ</t>
    </rPh>
    <rPh sb="23" eb="24">
      <t>カ</t>
    </rPh>
    <rPh sb="28" eb="29">
      <t>アタイ</t>
    </rPh>
    <rPh sb="30" eb="32">
      <t>ニュウリョク</t>
    </rPh>
    <rPh sb="32" eb="34">
      <t>ガメン</t>
    </rPh>
    <phoneticPr fontId="1"/>
  </si>
  <si>
    <t>組合せ表を縦行列へ置き直し（F5:G44)し更に成績表と同じ順番にVLOOKUPで配列し直し（J4:L59)</t>
    <rPh sb="11" eb="12">
      <t>ナオ</t>
    </rPh>
    <rPh sb="22" eb="23">
      <t>サラ</t>
    </rPh>
    <rPh sb="24" eb="26">
      <t>セイセキ</t>
    </rPh>
    <rPh sb="26" eb="27">
      <t>ヒョウ</t>
    </rPh>
    <rPh sb="28" eb="29">
      <t>オナ</t>
    </rPh>
    <rPh sb="30" eb="32">
      <t>ジュンバン</t>
    </rPh>
    <rPh sb="41" eb="43">
      <t>ハイレツ</t>
    </rPh>
    <rPh sb="44" eb="45">
      <t>ナオ</t>
    </rPh>
    <phoneticPr fontId="1"/>
  </si>
  <si>
    <t>登録名、フルネーム、フリカナのデータベース</t>
    <rPh sb="0" eb="2">
      <t>トウロク</t>
    </rPh>
    <rPh sb="2" eb="3">
      <t>メイ</t>
    </rPh>
    <phoneticPr fontId="1"/>
  </si>
  <si>
    <t>このデータを成績表へコピー</t>
    <rPh sb="6" eb="8">
      <t>セイセキ</t>
    </rPh>
    <rPh sb="8" eb="9">
      <t>ヒョウ</t>
    </rPh>
    <phoneticPr fontId="1"/>
  </si>
  <si>
    <t>組合せ表人員</t>
    <rPh sb="0" eb="2">
      <t>クミアワ</t>
    </rPh>
    <rPh sb="3" eb="4">
      <t>ヒョウ</t>
    </rPh>
    <rPh sb="4" eb="6">
      <t>ジンイン</t>
    </rPh>
    <phoneticPr fontId="1"/>
  </si>
  <si>
    <t>クラブ提出用の組合せ表です。プリント又はメールにコピー＆張付けで利用ください。</t>
    <rPh sb="3" eb="6">
      <t>テイシュツヨウ</t>
    </rPh>
    <rPh sb="7" eb="9">
      <t>クミアワ</t>
    </rPh>
    <rPh sb="10" eb="11">
      <t>ヒョウ</t>
    </rPh>
    <rPh sb="18" eb="19">
      <t>マタ</t>
    </rPh>
    <rPh sb="28" eb="30">
      <t>ハリツ</t>
    </rPh>
    <rPh sb="32" eb="34">
      <t>リヨウ</t>
    </rPh>
    <phoneticPr fontId="1"/>
  </si>
  <si>
    <t>・表示は組合せ表から関数で引用しています。</t>
    <rPh sb="1" eb="3">
      <t>ヒョウジ</t>
    </rPh>
    <rPh sb="4" eb="6">
      <t>クミアワ</t>
    </rPh>
    <rPh sb="7" eb="8">
      <t>ヒョウ</t>
    </rPh>
    <rPh sb="10" eb="12">
      <t>カンスウ</t>
    </rPh>
    <rPh sb="13" eb="15">
      <t>インヨウ</t>
    </rPh>
    <phoneticPr fontId="1"/>
  </si>
  <si>
    <t>・罫線、文字の大きさ、空欄の削除、等は変更しても内容には影響ありません。</t>
    <rPh sb="1" eb="3">
      <t>ケイセン</t>
    </rPh>
    <rPh sb="4" eb="6">
      <t>モジ</t>
    </rPh>
    <rPh sb="7" eb="8">
      <t>オオ</t>
    </rPh>
    <rPh sb="11" eb="13">
      <t>クウラン</t>
    </rPh>
    <rPh sb="14" eb="16">
      <t>サクジョ</t>
    </rPh>
    <rPh sb="17" eb="18">
      <t>トウ</t>
    </rPh>
    <rPh sb="19" eb="21">
      <t>ヘンコウ</t>
    </rPh>
    <rPh sb="24" eb="26">
      <t>ナイヨウ</t>
    </rPh>
    <rPh sb="28" eb="30">
      <t>エイキョウ</t>
    </rPh>
    <phoneticPr fontId="1"/>
  </si>
  <si>
    <t>組合せ表です。メールにコピー＆張付けして利用ください。</t>
    <rPh sb="0" eb="2">
      <t>クミアワ</t>
    </rPh>
    <rPh sb="3" eb="4">
      <t>ヒョウ</t>
    </rPh>
    <rPh sb="15" eb="17">
      <t>ハリツ</t>
    </rPh>
    <rPh sb="20" eb="22">
      <t>リヨウ</t>
    </rPh>
    <phoneticPr fontId="1"/>
  </si>
  <si>
    <t>生年月日</t>
    <rPh sb="0" eb="2">
      <t>セイネン</t>
    </rPh>
    <rPh sb="2" eb="4">
      <t>ガッピ</t>
    </rPh>
    <phoneticPr fontId="11"/>
  </si>
  <si>
    <t>日数</t>
    <rPh sb="0" eb="2">
      <t>ニッスウ</t>
    </rPh>
    <phoneticPr fontId="1"/>
  </si>
  <si>
    <t>シート①の組合せ表に年齢データを集計票から追加</t>
    <rPh sb="5" eb="7">
      <t>クミアワ</t>
    </rPh>
    <rPh sb="8" eb="9">
      <t>ヒョウ</t>
    </rPh>
    <rPh sb="10" eb="12">
      <t>ネンレイ</t>
    </rPh>
    <rPh sb="16" eb="18">
      <t>シュウケイ</t>
    </rPh>
    <rPh sb="18" eb="19">
      <t>ヒョウ</t>
    </rPh>
    <rPh sb="21" eb="23">
      <t>ツイカ</t>
    </rPh>
    <phoneticPr fontId="1"/>
  </si>
  <si>
    <t>シート①：本シート。入力画面です。</t>
    <rPh sb="5" eb="6">
      <t>ホン</t>
    </rPh>
    <rPh sb="10" eb="12">
      <t>ニュウリョク</t>
    </rPh>
    <rPh sb="12" eb="14">
      <t>ガメン</t>
    </rPh>
    <phoneticPr fontId="1"/>
  </si>
  <si>
    <t>シート③：クラブ提出用組合せ表。</t>
    <rPh sb="8" eb="11">
      <t>テイシュツヨウ</t>
    </rPh>
    <rPh sb="11" eb="13">
      <t>クミアワ</t>
    </rPh>
    <rPh sb="14" eb="15">
      <t>ヒョウ</t>
    </rPh>
    <phoneticPr fontId="1"/>
  </si>
  <si>
    <t>・表示内容は組合せ表から関数で引用しています。</t>
    <rPh sb="1" eb="3">
      <t>ヒョウジ</t>
    </rPh>
    <rPh sb="3" eb="5">
      <t>ナイヨウ</t>
    </rPh>
    <rPh sb="6" eb="8">
      <t>クミアワ</t>
    </rPh>
    <rPh sb="9" eb="10">
      <t>ヒョウ</t>
    </rPh>
    <rPh sb="12" eb="14">
      <t>カンスウ</t>
    </rPh>
    <rPh sb="15" eb="17">
      <t>インヨウ</t>
    </rPh>
    <phoneticPr fontId="1"/>
  </si>
  <si>
    <t>←名前欄</t>
    <rPh sb="1" eb="3">
      <t>ナマエ</t>
    </rPh>
    <rPh sb="3" eb="4">
      <t>ラン</t>
    </rPh>
    <phoneticPr fontId="1"/>
  </si>
  <si>
    <t>入力通りの組合せ</t>
    <rPh sb="0" eb="2">
      <t>ニュウリョク</t>
    </rPh>
    <rPh sb="2" eb="3">
      <t>ドオ</t>
    </rPh>
    <rPh sb="5" eb="7">
      <t>クミアワ</t>
    </rPh>
    <phoneticPr fontId="1"/>
  </si>
  <si>
    <t>組合せをﾗﾝﾀﾞﾑ化</t>
    <rPh sb="0" eb="2">
      <t>クミアワ</t>
    </rPh>
    <rPh sb="9" eb="10">
      <t>カ</t>
    </rPh>
    <phoneticPr fontId="1"/>
  </si>
  <si>
    <t>組合せ表初期設定用</t>
    <rPh sb="0" eb="2">
      <t>クミアワ</t>
    </rPh>
    <rPh sb="3" eb="4">
      <t>ヒョウ</t>
    </rPh>
    <rPh sb="4" eb="6">
      <t>ショキ</t>
    </rPh>
    <rPh sb="6" eb="9">
      <t>セッテイヨウ</t>
    </rPh>
    <phoneticPr fontId="1"/>
  </si>
  <si>
    <t>五十音順</t>
    <rPh sb="0" eb="3">
      <t>ゴジュウオン</t>
    </rPh>
    <rPh sb="3" eb="4">
      <t>ジュン</t>
    </rPh>
    <phoneticPr fontId="11"/>
  </si>
  <si>
    <t>⑫</t>
    <phoneticPr fontId="11"/>
  </si>
  <si>
    <t>⑬</t>
    <phoneticPr fontId="1"/>
  </si>
  <si>
    <t>⑭</t>
    <phoneticPr fontId="1"/>
  </si>
  <si>
    <t>入力完了していれば②をｺﾋﾟｰ、未であれば</t>
    <rPh sb="0" eb="2">
      <t>ニュウリョク</t>
    </rPh>
    <rPh sb="2" eb="4">
      <t>カンリョウ</t>
    </rPh>
    <rPh sb="16" eb="17">
      <t>ミ</t>
    </rPh>
    <phoneticPr fontId="1"/>
  </si>
  <si>
    <t>6行はINDEX関数の列No指定に使用</t>
    <rPh sb="1" eb="2">
      <t>ギョウ</t>
    </rPh>
    <rPh sb="8" eb="10">
      <t>カンスウ</t>
    </rPh>
    <rPh sb="11" eb="12">
      <t>レツ</t>
    </rPh>
    <rPh sb="14" eb="16">
      <t>シテイ</t>
    </rPh>
    <rPh sb="17" eb="19">
      <t>シヨウ</t>
    </rPh>
    <phoneticPr fontId="1"/>
  </si>
  <si>
    <t>⑭から各行（組）内を年齢順に整列</t>
    <rPh sb="3" eb="5">
      <t>カクギョウ</t>
    </rPh>
    <rPh sb="6" eb="7">
      <t>クミ</t>
    </rPh>
    <rPh sb="8" eb="9">
      <t>ナイ</t>
    </rPh>
    <rPh sb="10" eb="12">
      <t>ネンレイ</t>
    </rPh>
    <rPh sb="12" eb="13">
      <t>ジュン</t>
    </rPh>
    <rPh sb="14" eb="16">
      <t>セイレツ</t>
    </rPh>
    <phoneticPr fontId="1"/>
  </si>
  <si>
    <t>ﾎｰﾙﾄﾞ⑯</t>
    <phoneticPr fontId="1"/>
  </si>
  <si>
    <t>昇順に並べるREF</t>
    <rPh sb="0" eb="2">
      <t>ショウジュン</t>
    </rPh>
    <rPh sb="3" eb="4">
      <t>ナラ</t>
    </rPh>
    <phoneticPr fontId="1"/>
  </si>
  <si>
    <t>⑳からのコピー　(２１)</t>
    <phoneticPr fontId="1"/>
  </si>
  <si>
    <t>(21)を成績表順に並べ替え、成績表に表示</t>
    <rPh sb="5" eb="7">
      <t>セイセキ</t>
    </rPh>
    <rPh sb="7" eb="8">
      <t>ヒョウ</t>
    </rPh>
    <rPh sb="8" eb="9">
      <t>ジュン</t>
    </rPh>
    <rPh sb="10" eb="11">
      <t>ナラ</t>
    </rPh>
    <rPh sb="12" eb="13">
      <t>カ</t>
    </rPh>
    <rPh sb="15" eb="17">
      <t>セイセキ</t>
    </rPh>
    <rPh sb="17" eb="18">
      <t>ヒョウ</t>
    </rPh>
    <rPh sb="19" eb="21">
      <t>ヒョウジ</t>
    </rPh>
    <phoneticPr fontId="1"/>
  </si>
  <si>
    <t>高崎倶楽部　成績纏め表　組合せ作成、成績記入）</t>
    <rPh sb="0" eb="2">
      <t>タカサキ</t>
    </rPh>
    <rPh sb="2" eb="5">
      <t>クラブ</t>
    </rPh>
    <rPh sb="6" eb="8">
      <t>セイセキ</t>
    </rPh>
    <rPh sb="8" eb="9">
      <t>マト</t>
    </rPh>
    <rPh sb="10" eb="11">
      <t>ヒョウ</t>
    </rPh>
    <rPh sb="12" eb="14">
      <t>クミアワ</t>
    </rPh>
    <rPh sb="15" eb="17">
      <t>サクセイ</t>
    </rPh>
    <rPh sb="18" eb="20">
      <t>セイセキ</t>
    </rPh>
    <rPh sb="20" eb="22">
      <t>キニュウ</t>
    </rPh>
    <phoneticPr fontId="1"/>
  </si>
  <si>
    <t>現データをﾎｰﾙﾄﾞ.左の生年月日データをVLOOKUPで挿入</t>
    <rPh sb="0" eb="1">
      <t>ゲン</t>
    </rPh>
    <phoneticPr fontId="1"/>
  </si>
  <si>
    <t>幹事（ｼｰﾄ①S22）は年齢最若とし右側に来るように設定。</t>
    <rPh sb="0" eb="2">
      <t>カンジ</t>
    </rPh>
    <rPh sb="12" eb="14">
      <t>ネンレイ</t>
    </rPh>
    <rPh sb="14" eb="15">
      <t>サイ</t>
    </rPh>
    <rPh sb="15" eb="16">
      <t>ジャク</t>
    </rPh>
    <rPh sb="18" eb="20">
      <t>ミギガワ</t>
    </rPh>
    <rPh sb="21" eb="22">
      <t>ク</t>
    </rPh>
    <rPh sb="26" eb="28">
      <t>セッテイ</t>
    </rPh>
    <phoneticPr fontId="1"/>
  </si>
  <si>
    <t>入力中/完</t>
    <rPh sb="0" eb="3">
      <t>ニュウリョクチュウ</t>
    </rPh>
    <rPh sb="4" eb="5">
      <t>カン</t>
    </rPh>
    <phoneticPr fontId="11"/>
  </si>
  <si>
    <t>巡回演算</t>
    <rPh sb="0" eb="2">
      <t>ジュンカイ</t>
    </rPh>
    <rPh sb="2" eb="4">
      <t>エンザン</t>
    </rPh>
    <phoneticPr fontId="11"/>
  </si>
  <si>
    <t>シート②：メンバーに配信する組合せ表です。</t>
    <rPh sb="10" eb="12">
      <t>ハイシン</t>
    </rPh>
    <rPh sb="14" eb="16">
      <t>クミアワ</t>
    </rPh>
    <rPh sb="17" eb="18">
      <t>ヒョウ</t>
    </rPh>
    <phoneticPr fontId="1"/>
  </si>
  <si>
    <t>３．各シートの内容</t>
    <rPh sb="2" eb="3">
      <t>カク</t>
    </rPh>
    <rPh sb="7" eb="9">
      <t>ナイヨウ</t>
    </rPh>
    <phoneticPr fontId="1"/>
  </si>
  <si>
    <t>４．注意</t>
    <rPh sb="2" eb="4">
      <t>チュウイ</t>
    </rPh>
    <phoneticPr fontId="11"/>
  </si>
  <si>
    <t>本エクセルでは反復計算を行う関数を使っています。</t>
    <rPh sb="0" eb="1">
      <t>ホン</t>
    </rPh>
    <rPh sb="7" eb="9">
      <t>ハンプク</t>
    </rPh>
    <rPh sb="9" eb="11">
      <t>ケイサン</t>
    </rPh>
    <rPh sb="12" eb="13">
      <t>オコナ</t>
    </rPh>
    <rPh sb="14" eb="16">
      <t>カンスウ</t>
    </rPh>
    <rPh sb="17" eb="18">
      <t>ツカ</t>
    </rPh>
    <phoneticPr fontId="11"/>
  </si>
  <si>
    <t>対策１　－エクセルの設定を変更する</t>
    <rPh sb="0" eb="2">
      <t>タイサク</t>
    </rPh>
    <rPh sb="10" eb="12">
      <t>セッテイ</t>
    </rPh>
    <rPh sb="13" eb="15">
      <t>ヘンコウ</t>
    </rPh>
    <phoneticPr fontId="11"/>
  </si>
  <si>
    <t>（１）開いているエクセルの左上のofficeマークをクリック</t>
    <rPh sb="3" eb="4">
      <t>ヒラ</t>
    </rPh>
    <rPh sb="13" eb="15">
      <t>ヒダリウエ</t>
    </rPh>
    <phoneticPr fontId="11"/>
  </si>
  <si>
    <t>（２）最下段にある「エクセルのオプション」をクリック</t>
    <rPh sb="3" eb="5">
      <t>サイカ</t>
    </rPh>
    <rPh sb="5" eb="6">
      <t>ダン</t>
    </rPh>
    <phoneticPr fontId="11"/>
  </si>
  <si>
    <t>（３）左側にあるﾒﾆｭｰリストから「数式」をクリック</t>
    <rPh sb="3" eb="5">
      <t>ヒダリガワ</t>
    </rPh>
    <rPh sb="18" eb="20">
      <t>スウシキ</t>
    </rPh>
    <phoneticPr fontId="11"/>
  </si>
  <si>
    <t>（５）下段の「OK」をクリックして設定終了。この変更ではセキュリティ上の問題は一切ありません</t>
    <rPh sb="3" eb="5">
      <t>カダン</t>
    </rPh>
    <rPh sb="17" eb="19">
      <t>セッテイ</t>
    </rPh>
    <rPh sb="19" eb="21">
      <t>シュウリョウ</t>
    </rPh>
    <rPh sb="24" eb="26">
      <t>ヘンコウ</t>
    </rPh>
    <rPh sb="34" eb="35">
      <t>ジョウ</t>
    </rPh>
    <rPh sb="36" eb="38">
      <t>モンダイ</t>
    </rPh>
    <rPh sb="39" eb="41">
      <t>イッサイ</t>
    </rPh>
    <phoneticPr fontId="11"/>
  </si>
  <si>
    <t>対策２　－簡易版の組合せ作成ツールを使ってください</t>
    <rPh sb="0" eb="2">
      <t>タイサク</t>
    </rPh>
    <rPh sb="5" eb="8">
      <t>カンイバン</t>
    </rPh>
    <rPh sb="9" eb="11">
      <t>クミアワ</t>
    </rPh>
    <rPh sb="12" eb="14">
      <t>サクセイ</t>
    </rPh>
    <rPh sb="18" eb="19">
      <t>ツカ</t>
    </rPh>
    <phoneticPr fontId="11"/>
  </si>
  <si>
    <t>各PC毎のエクセルの設定次第ではプログラムが動作しないことがあります。</t>
    <rPh sb="0" eb="1">
      <t>カク</t>
    </rPh>
    <rPh sb="3" eb="4">
      <t>ゴト</t>
    </rPh>
    <rPh sb="10" eb="12">
      <t>セッテイ</t>
    </rPh>
    <rPh sb="12" eb="14">
      <t>シダイ</t>
    </rPh>
    <rPh sb="22" eb="24">
      <t>ドウサ</t>
    </rPh>
    <phoneticPr fontId="11"/>
  </si>
  <si>
    <t>モード検出</t>
    <rPh sb="3" eb="5">
      <t>ケンシュツ</t>
    </rPh>
    <phoneticPr fontId="11"/>
  </si>
  <si>
    <t>このシートの時間稼ぎ</t>
    <rPh sb="6" eb="8">
      <t>ジカン</t>
    </rPh>
    <rPh sb="8" eb="9">
      <t>カセ</t>
    </rPh>
    <phoneticPr fontId="11"/>
  </si>
  <si>
    <t>空欄の処理</t>
    <rPh sb="0" eb="2">
      <t>クウラン</t>
    </rPh>
    <rPh sb="3" eb="5">
      <t>ショリ</t>
    </rPh>
    <phoneticPr fontId="1"/>
  </si>
  <si>
    <t>乱数より大きい数字を</t>
    <rPh sb="0" eb="2">
      <t>ランスウ</t>
    </rPh>
    <rPh sb="4" eb="5">
      <t>オオ</t>
    </rPh>
    <rPh sb="7" eb="9">
      <t>スウジ</t>
    </rPh>
    <phoneticPr fontId="1"/>
  </si>
  <si>
    <t>与えﾗﾝﾀﾞﾑ時に最後に来るように設定。</t>
    <rPh sb="0" eb="1">
      <t>アタ</t>
    </rPh>
    <rPh sb="7" eb="8">
      <t>ジ</t>
    </rPh>
    <rPh sb="9" eb="11">
      <t>サイゴ</t>
    </rPh>
    <rPh sb="12" eb="13">
      <t>ク</t>
    </rPh>
    <rPh sb="17" eb="19">
      <t>セッテイ</t>
    </rPh>
    <phoneticPr fontId="1"/>
  </si>
  <si>
    <t>組合せ設定後抜ける人の対策</t>
    <rPh sb="0" eb="2">
      <t>クミアワ</t>
    </rPh>
    <rPh sb="3" eb="5">
      <t>セッテイ</t>
    </rPh>
    <rPh sb="5" eb="6">
      <t>ゴ</t>
    </rPh>
    <rPh sb="6" eb="7">
      <t>ヌ</t>
    </rPh>
    <rPh sb="9" eb="10">
      <t>ヒト</t>
    </rPh>
    <rPh sb="11" eb="13">
      <t>タイサク</t>
    </rPh>
    <phoneticPr fontId="1"/>
  </si>
  <si>
    <t>集計ｼｰﾄにてキャンセルに「５」の年齢を</t>
    <rPh sb="0" eb="2">
      <t>シュウケイ</t>
    </rPh>
    <rPh sb="17" eb="19">
      <t>ネンレイ</t>
    </rPh>
    <phoneticPr fontId="1"/>
  </si>
  <si>
    <t>設定。一番若くし、右側に来るように。</t>
    <rPh sb="0" eb="2">
      <t>セッテイ</t>
    </rPh>
    <rPh sb="3" eb="5">
      <t>イチバン</t>
    </rPh>
    <rPh sb="5" eb="6">
      <t>ワカ</t>
    </rPh>
    <rPh sb="9" eb="11">
      <t>ミギガワ</t>
    </rPh>
    <rPh sb="12" eb="13">
      <t>ク</t>
    </rPh>
    <phoneticPr fontId="1"/>
  </si>
  <si>
    <t>入力完</t>
    <rPh sb="0" eb="2">
      <t>ニュウリョク</t>
    </rPh>
    <rPh sb="2" eb="3">
      <t>カン</t>
    </rPh>
    <phoneticPr fontId="11"/>
  </si>
  <si>
    <t>先輩順</t>
    <rPh sb="0" eb="2">
      <t>センパイ</t>
    </rPh>
    <rPh sb="2" eb="3">
      <t>ジュン</t>
    </rPh>
    <phoneticPr fontId="11"/>
  </si>
  <si>
    <t>ﾗﾝﾀﾞﾑ</t>
    <phoneticPr fontId="11"/>
  </si>
  <si>
    <t>入力通り</t>
    <rPh sb="0" eb="2">
      <t>ニュウリョク</t>
    </rPh>
    <rPh sb="2" eb="3">
      <t>ドオ</t>
    </rPh>
    <phoneticPr fontId="11"/>
  </si>
  <si>
    <t>組合せ通り</t>
    <rPh sb="0" eb="2">
      <t>クミアワ</t>
    </rPh>
    <rPh sb="3" eb="4">
      <t>ドオ</t>
    </rPh>
    <phoneticPr fontId="11"/>
  </si>
  <si>
    <t>組合せﾃﾞｰﾀ　参考</t>
    <rPh sb="0" eb="2">
      <t>クミアワ</t>
    </rPh>
    <rPh sb="8" eb="10">
      <t>サンコウ</t>
    </rPh>
    <phoneticPr fontId="11"/>
  </si>
  <si>
    <t>表１</t>
    <rPh sb="0" eb="1">
      <t>ヒョウ</t>
    </rPh>
    <phoneticPr fontId="11"/>
  </si>
  <si>
    <t>表２</t>
    <rPh sb="0" eb="1">
      <t>ヒョウ</t>
    </rPh>
    <phoneticPr fontId="11"/>
  </si>
  <si>
    <t>表３</t>
    <rPh sb="0" eb="1">
      <t>ヒョウ</t>
    </rPh>
    <phoneticPr fontId="11"/>
  </si>
  <si>
    <t>年齢順入力</t>
    <rPh sb="0" eb="2">
      <t>ネンレイ</t>
    </rPh>
    <rPh sb="2" eb="3">
      <t>ジュン</t>
    </rPh>
    <rPh sb="3" eb="5">
      <t>ニュウリョク</t>
    </rPh>
    <phoneticPr fontId="1"/>
  </si>
  <si>
    <t>入力時をHOLDしたﾃﾞｰﾀ</t>
    <rPh sb="0" eb="3">
      <t>ニュウリョクジ</t>
    </rPh>
    <phoneticPr fontId="11"/>
  </si>
  <si>
    <t>年齢順に送られるﾃﾞｰﾀ</t>
    <rPh sb="0" eb="2">
      <t>ネンレイ</t>
    </rPh>
    <rPh sb="2" eb="3">
      <t>ジュン</t>
    </rPh>
    <rPh sb="4" eb="5">
      <t>オク</t>
    </rPh>
    <phoneticPr fontId="11"/>
  </si>
  <si>
    <t>Fを小順</t>
    <rPh sb="2" eb="3">
      <t>ショウ</t>
    </rPh>
    <rPh sb="3" eb="4">
      <t>ジュン</t>
    </rPh>
    <phoneticPr fontId="1"/>
  </si>
  <si>
    <t>小順の名前</t>
    <rPh sb="0" eb="1">
      <t>ショウ</t>
    </rPh>
    <rPh sb="1" eb="2">
      <t>ジュン</t>
    </rPh>
    <rPh sb="3" eb="5">
      <t>ナマエ</t>
    </rPh>
    <phoneticPr fontId="1"/>
  </si>
  <si>
    <t>出席者のみの順番</t>
    <rPh sb="0" eb="3">
      <t>シュッセキシャ</t>
    </rPh>
    <rPh sb="6" eb="8">
      <t>ジュンバン</t>
    </rPh>
    <phoneticPr fontId="1"/>
  </si>
  <si>
    <t>↓このリストが変更時に表示されればいいのでは？？？</t>
    <rPh sb="7" eb="9">
      <t>ヘンコウ</t>
    </rPh>
    <rPh sb="9" eb="10">
      <t>ジ</t>
    </rPh>
    <rPh sb="11" eb="13">
      <t>ヒョウジ</t>
    </rPh>
    <phoneticPr fontId="1"/>
  </si>
  <si>
    <t>乱数（M列）</t>
    <rPh sb="0" eb="2">
      <t>ランスウ</t>
    </rPh>
    <rPh sb="4" eb="5">
      <t>レツ</t>
    </rPh>
    <phoneticPr fontId="1"/>
  </si>
  <si>
    <t>全員に乱数を与え昇順に並べ替え</t>
    <rPh sb="0" eb="2">
      <t>ゼンイン</t>
    </rPh>
    <rPh sb="3" eb="5">
      <t>ランスウ</t>
    </rPh>
    <rPh sb="6" eb="7">
      <t>アタ</t>
    </rPh>
    <rPh sb="8" eb="10">
      <t>ショウジュン</t>
    </rPh>
    <rPh sb="11" eb="12">
      <t>ナラ</t>
    </rPh>
    <rPh sb="13" eb="14">
      <t>カ</t>
    </rPh>
    <phoneticPr fontId="1"/>
  </si>
  <si>
    <t>これでﾗﾝﾀﾞﾑ時に表示するメンバーリスト</t>
    <rPh sb="8" eb="9">
      <t>ジ</t>
    </rPh>
    <rPh sb="10" eb="12">
      <t>ヒョウジ</t>
    </rPh>
    <phoneticPr fontId="1"/>
  </si>
  <si>
    <t>をﾗﾝﾀﾞﾑ時の番号ー名前に対応でき</t>
    <rPh sb="6" eb="7">
      <t>ノ</t>
    </rPh>
    <rPh sb="7" eb="9">
      <t>バンゴウ</t>
    </rPh>
    <rPh sb="9" eb="10">
      <t>ー</t>
    </rPh>
    <rPh sb="10" eb="13">
      <t>ナマエニ</t>
    </rPh>
    <rPh sb="14" eb="16">
      <t>タイオウ</t>
    </rPh>
    <phoneticPr fontId="1"/>
  </si>
  <si>
    <t>出席者のみを表示すると同時に</t>
    <rPh sb="0" eb="3">
      <t>シュッセキシャ</t>
    </rPh>
    <rPh sb="6" eb="8">
      <t>ヒョウジ</t>
    </rPh>
    <rPh sb="11" eb="13">
      <t>ドウジ</t>
    </rPh>
    <phoneticPr fontId="1"/>
  </si>
  <si>
    <t>変更時に全員の名前を表示できる</t>
    <rPh sb="0" eb="2">
      <t>ヘンコウ</t>
    </rPh>
    <rPh sb="2" eb="3">
      <t>ジ</t>
    </rPh>
    <rPh sb="4" eb="6">
      <t>ゼンイン</t>
    </rPh>
    <rPh sb="7" eb="9">
      <t>ナマエ</t>
    </rPh>
    <rPh sb="10" eb="12">
      <t>ヒョウジ</t>
    </rPh>
    <phoneticPr fontId="1"/>
  </si>
  <si>
    <t>全員番号</t>
    <rPh sb="0" eb="2">
      <t>ゼンイン</t>
    </rPh>
    <rPh sb="2" eb="4">
      <t>バンゴウ</t>
    </rPh>
    <phoneticPr fontId="1"/>
  </si>
  <si>
    <t>全員の乱数</t>
    <rPh sb="0" eb="2">
      <t>ゼンイン</t>
    </rPh>
    <rPh sb="3" eb="5">
      <t>ランスウ</t>
    </rPh>
    <phoneticPr fontId="1"/>
  </si>
  <si>
    <t>40人分乱数</t>
    <rPh sb="2" eb="4">
      <t>ニンブン</t>
    </rPh>
    <rPh sb="4" eb="6">
      <t>ランスウ</t>
    </rPh>
    <phoneticPr fontId="1"/>
  </si>
  <si>
    <t>全員ﾘｽﾄ</t>
    <rPh sb="0" eb="2">
      <t>ゼンイン</t>
    </rPh>
    <phoneticPr fontId="1"/>
  </si>
  <si>
    <t>P列名前に対応したEG列</t>
    <rPh sb="1" eb="2">
      <t>レツ</t>
    </rPh>
    <rPh sb="2" eb="4">
      <t>ナマエ</t>
    </rPh>
    <rPh sb="5" eb="7">
      <t>タイオウ</t>
    </rPh>
    <rPh sb="11" eb="12">
      <t>レツ</t>
    </rPh>
    <phoneticPr fontId="1"/>
  </si>
  <si>
    <t>全員に乱数を充てる</t>
    <rPh sb="0" eb="2">
      <t>ゼンイン</t>
    </rPh>
    <rPh sb="3" eb="5">
      <t>ランスウ</t>
    </rPh>
    <rPh sb="6" eb="7">
      <t>ア</t>
    </rPh>
    <phoneticPr fontId="1"/>
  </si>
  <si>
    <t>昇順に乱数を並べ替え対応する名前を同時に並べ替えﾗﾝﾀﾞﾑ時に名前-番号とする</t>
    <rPh sb="0" eb="2">
      <t>ショウジュン</t>
    </rPh>
    <rPh sb="3" eb="5">
      <t>ランスウ</t>
    </rPh>
    <rPh sb="6" eb="7">
      <t>ナラ</t>
    </rPh>
    <rPh sb="8" eb="9">
      <t>カ</t>
    </rPh>
    <rPh sb="10" eb="12">
      <t>タイオウ</t>
    </rPh>
    <rPh sb="14" eb="16">
      <t>ナマエ</t>
    </rPh>
    <rPh sb="17" eb="19">
      <t>ドウジ</t>
    </rPh>
    <rPh sb="20" eb="21">
      <t>ナラ</t>
    </rPh>
    <rPh sb="22" eb="23">
      <t>カ</t>
    </rPh>
    <rPh sb="29" eb="30">
      <t>ジ</t>
    </rPh>
    <rPh sb="31" eb="33">
      <t>ナマエ</t>
    </rPh>
    <rPh sb="34" eb="36">
      <t>バンゴウ</t>
    </rPh>
    <phoneticPr fontId="1"/>
  </si>
  <si>
    <t>出席者のみを抽出し表示</t>
    <rPh sb="0" eb="3">
      <t>シュッセキシャ</t>
    </rPh>
    <rPh sb="6" eb="8">
      <t>チュウシュツ</t>
    </rPh>
    <rPh sb="9" eb="11">
      <t>ヒョウジ</t>
    </rPh>
    <phoneticPr fontId="1"/>
  </si>
  <si>
    <t>変更時は全員のﾗﾝﾀﾞﾑﾘｽﾄを名前表示リストとし新規追加を可能にする</t>
    <rPh sb="0" eb="2">
      <t>ヘンコウ</t>
    </rPh>
    <rPh sb="2" eb="3">
      <t>ジ</t>
    </rPh>
    <rPh sb="4" eb="6">
      <t>ゼンイン</t>
    </rPh>
    <rPh sb="16" eb="18">
      <t>ナマエ</t>
    </rPh>
    <rPh sb="18" eb="20">
      <t>ヒョウジ</t>
    </rPh>
    <rPh sb="25" eb="27">
      <t>シンキ</t>
    </rPh>
    <rPh sb="27" eb="29">
      <t>ツイカ</t>
    </rPh>
    <rPh sb="30" eb="32">
      <t>カノウ</t>
    </rPh>
    <phoneticPr fontId="1"/>
  </si>
  <si>
    <t>変更/ﾗﾝﾀﾞﾑ時の</t>
    <rPh sb="0" eb="2">
      <t>ヘンコウ</t>
    </rPh>
    <rPh sb="8" eb="9">
      <t>ジ</t>
    </rPh>
    <phoneticPr fontId="1"/>
  </si>
  <si>
    <t>表示ﾘｽﾄ</t>
    <rPh sb="0" eb="2">
      <t>ヒョウジ</t>
    </rPh>
    <phoneticPr fontId="1"/>
  </si>
  <si>
    <t>ﾗﾝﾀﾞﾑ時に当初の名前番号をﾗﾝﾀﾞﾑ化しているので同じベースで</t>
    <rPh sb="5" eb="6">
      <t>ジ</t>
    </rPh>
    <rPh sb="7" eb="9">
      <t>トウショ</t>
    </rPh>
    <rPh sb="10" eb="12">
      <t>ナマエ</t>
    </rPh>
    <rPh sb="12" eb="14">
      <t>バンゴウ</t>
    </rPh>
    <rPh sb="20" eb="21">
      <t>カ</t>
    </rPh>
    <rPh sb="27" eb="28">
      <t>オナ</t>
    </rPh>
    <phoneticPr fontId="1"/>
  </si>
  <si>
    <t>非出席者も番号化しておかないと全員表示ができない。</t>
    <rPh sb="0" eb="1">
      <t>ヒ</t>
    </rPh>
    <rPh sb="1" eb="4">
      <t>シュッセキシャ</t>
    </rPh>
    <rPh sb="5" eb="8">
      <t>バンゴウカ</t>
    </rPh>
    <rPh sb="15" eb="17">
      <t>ゼンイン</t>
    </rPh>
    <rPh sb="17" eb="19">
      <t>ヒョウジ</t>
    </rPh>
    <phoneticPr fontId="1"/>
  </si>
  <si>
    <t>（名前ー番号が狂うと表示そのものが狂う）</t>
    <rPh sb="1" eb="3">
      <t>ナマエ</t>
    </rPh>
    <rPh sb="4" eb="6">
      <t>バンゴウ</t>
    </rPh>
    <rPh sb="7" eb="8">
      <t>クル</t>
    </rPh>
    <rPh sb="10" eb="12">
      <t>ヒョウジ</t>
    </rPh>
    <rPh sb="17" eb="18">
      <t>クル</t>
    </rPh>
    <phoneticPr fontId="1"/>
  </si>
  <si>
    <t>全員ﾘｽﾄをR,T列で置換</t>
    <rPh sb="0" eb="2">
      <t>ゼンイン</t>
    </rPh>
    <rPh sb="9" eb="10">
      <t>レツ</t>
    </rPh>
    <rPh sb="11" eb="13">
      <t>チカン</t>
    </rPh>
    <phoneticPr fontId="1"/>
  </si>
  <si>
    <t>出席者のみ</t>
    <rPh sb="0" eb="3">
      <t>シュッセキシャ</t>
    </rPh>
    <phoneticPr fontId="1"/>
  </si>
  <si>
    <t>（氏名ﾘｽﾄ）</t>
    <rPh sb="1" eb="3">
      <t>シメイ</t>
    </rPh>
    <phoneticPr fontId="1"/>
  </si>
  <si>
    <t>P列をHOLD</t>
    <rPh sb="1" eb="2">
      <t>レツ</t>
    </rPh>
    <phoneticPr fontId="1"/>
  </si>
  <si>
    <t>↑全員乱数を昇順に並べたG列に対し名前が出席者リストにあれば</t>
    <rPh sb="1" eb="3">
      <t>ゼンイン</t>
    </rPh>
    <rPh sb="3" eb="5">
      <t>ランスウ</t>
    </rPh>
    <rPh sb="6" eb="8">
      <t>ショウジュン</t>
    </rPh>
    <rPh sb="9" eb="10">
      <t>ナラ</t>
    </rPh>
    <rPh sb="13" eb="14">
      <t>レツ</t>
    </rPh>
    <rPh sb="15" eb="16">
      <t>タイ</t>
    </rPh>
    <rPh sb="17" eb="19">
      <t>ナマエ</t>
    </rPh>
    <rPh sb="20" eb="23">
      <t>シュッセキシャ</t>
    </rPh>
    <phoneticPr fontId="1"/>
  </si>
  <si>
    <t>ﾗﾝﾀﾞﾑによる名前の置換えを行う、無ければH列の名前を使う。</t>
    <rPh sb="8" eb="10">
      <t>ナマエ</t>
    </rPh>
    <rPh sb="11" eb="13">
      <t>オキカ</t>
    </rPh>
    <rPh sb="15" eb="16">
      <t>オコナ</t>
    </rPh>
    <rPh sb="18" eb="19">
      <t>ナ</t>
    </rPh>
    <rPh sb="23" eb="24">
      <t>レツ</t>
    </rPh>
    <rPh sb="25" eb="27">
      <t>ナマエ</t>
    </rPh>
    <rPh sb="28" eb="29">
      <t>ツカ</t>
    </rPh>
    <phoneticPr fontId="1"/>
  </si>
  <si>
    <t>これによりﾗﾝﾀﾞﾑ時に全員をﾌﾟﾙﾀﾞｳﾝしても組合せが変わらない。</t>
    <rPh sb="10" eb="11">
      <t>ジ</t>
    </rPh>
    <rPh sb="12" eb="14">
      <t>ゼンイン</t>
    </rPh>
    <rPh sb="25" eb="27">
      <t>クミアワ</t>
    </rPh>
    <rPh sb="29" eb="30">
      <t>カ</t>
    </rPh>
    <phoneticPr fontId="1"/>
  </si>
  <si>
    <t>非ﾗﾝﾀﾞﾑ時はT列が出席者リストと同じであり</t>
    <rPh sb="0" eb="1">
      <t>ヒ</t>
    </rPh>
    <rPh sb="6" eb="7">
      <t>ジ</t>
    </rPh>
    <rPh sb="9" eb="10">
      <t>レツ</t>
    </rPh>
    <rPh sb="11" eb="14">
      <t>シュッセキシャ</t>
    </rPh>
    <rPh sb="18" eb="19">
      <t>オナ</t>
    </rPh>
    <phoneticPr fontId="1"/>
  </si>
  <si>
    <t>表２を縦行列化</t>
    <rPh sb="0" eb="1">
      <t>ヒョウ</t>
    </rPh>
    <rPh sb="3" eb="4">
      <t>タテ</t>
    </rPh>
    <rPh sb="4" eb="6">
      <t>ギョウレツ</t>
    </rPh>
    <rPh sb="6" eb="7">
      <t>カ</t>
    </rPh>
    <phoneticPr fontId="11"/>
  </si>
  <si>
    <t>表０</t>
    <rPh sb="0" eb="1">
      <t>ヒョウ</t>
    </rPh>
    <phoneticPr fontId="11"/>
  </si>
  <si>
    <t>入力と1対1で対応</t>
    <rPh sb="0" eb="2">
      <t>ニュウリョク</t>
    </rPh>
    <rPh sb="4" eb="5">
      <t>タイ</t>
    </rPh>
    <rPh sb="7" eb="9">
      <t>タイオウ</t>
    </rPh>
    <phoneticPr fontId="11"/>
  </si>
  <si>
    <t>入力表のリンク先。番号は氏名ﾘｽﾄに対応</t>
    <rPh sb="0" eb="2">
      <t>ニュウリョク</t>
    </rPh>
    <rPh sb="2" eb="3">
      <t>ヒョウ</t>
    </rPh>
    <rPh sb="7" eb="8">
      <t>サキ</t>
    </rPh>
    <rPh sb="9" eb="11">
      <t>バンゴウ</t>
    </rPh>
    <rPh sb="12" eb="14">
      <t>シメイ</t>
    </rPh>
    <rPh sb="18" eb="20">
      <t>タイオウ</t>
    </rPh>
    <phoneticPr fontId="1"/>
  </si>
  <si>
    <t>表１を入力完でHOLD</t>
    <rPh sb="0" eb="1">
      <t>ヒョウ</t>
    </rPh>
    <rPh sb="3" eb="5">
      <t>ニュウリョク</t>
    </rPh>
    <rPh sb="5" eb="6">
      <t>カン</t>
    </rPh>
    <phoneticPr fontId="11"/>
  </si>
  <si>
    <t>表1から名前を氏名ﾘｽﾄで名前を呼び出す</t>
    <rPh sb="0" eb="1">
      <t>ヒョウ</t>
    </rPh>
    <rPh sb="4" eb="6">
      <t>ナマエ</t>
    </rPh>
    <rPh sb="7" eb="9">
      <t>シメイ</t>
    </rPh>
    <rPh sb="13" eb="15">
      <t>ナマエ</t>
    </rPh>
    <rPh sb="16" eb="17">
      <t>ヨ</t>
    </rPh>
    <rPh sb="18" eb="19">
      <t>ダ</t>
    </rPh>
    <phoneticPr fontId="1"/>
  </si>
  <si>
    <t>を行、列番号を利用して数値化</t>
    <rPh sb="1" eb="2">
      <t>ギョウ</t>
    </rPh>
    <rPh sb="3" eb="4">
      <t>レツ</t>
    </rPh>
    <rPh sb="4" eb="6">
      <t>バンゴウ</t>
    </rPh>
    <rPh sb="7" eb="9">
      <t>リヨウ</t>
    </rPh>
    <rPh sb="11" eb="13">
      <t>スウチ</t>
    </rPh>
    <rPh sb="13" eb="14">
      <t>カ</t>
    </rPh>
    <phoneticPr fontId="11"/>
  </si>
  <si>
    <t>表4</t>
    <rPh sb="0" eb="1">
      <t>ヒョウ</t>
    </rPh>
    <phoneticPr fontId="11"/>
  </si>
  <si>
    <t>ﾗﾝﾀﾞﾑ処理のため表４経由で組合せﾃﾞｰﾀへ</t>
    <rPh sb="5" eb="7">
      <t>ショリ</t>
    </rPh>
    <rPh sb="10" eb="11">
      <t>ヒョウ</t>
    </rPh>
    <rPh sb="12" eb="14">
      <t>ケイユ</t>
    </rPh>
    <rPh sb="15" eb="17">
      <t>クミアワ</t>
    </rPh>
    <phoneticPr fontId="11"/>
  </si>
  <si>
    <t>表5</t>
    <rPh sb="0" eb="1">
      <t>ヒョウ</t>
    </rPh>
    <phoneticPr fontId="11"/>
  </si>
  <si>
    <t>表０を</t>
    <rPh sb="0" eb="1">
      <t>ヒョウ</t>
    </rPh>
    <phoneticPr fontId="11"/>
  </si>
  <si>
    <t>年齢順に</t>
    <rPh sb="0" eb="2">
      <t>ネンレイ</t>
    </rPh>
    <rPh sb="2" eb="3">
      <t>ジュン</t>
    </rPh>
    <phoneticPr fontId="11"/>
  </si>
  <si>
    <t>並替え</t>
    <rPh sb="0" eb="1">
      <t>ナラ</t>
    </rPh>
    <rPh sb="1" eb="2">
      <t>カ</t>
    </rPh>
    <phoneticPr fontId="11"/>
  </si>
  <si>
    <t>組合せﾃﾞｰﾀから</t>
    <rPh sb="0" eb="1">
      <t>クミ</t>
    </rPh>
    <rPh sb="1" eb="2">
      <t>アワ</t>
    </rPh>
    <phoneticPr fontId="11"/>
  </si>
  <si>
    <t>表6</t>
    <rPh sb="0" eb="1">
      <t>ヒョウ</t>
    </rPh>
    <phoneticPr fontId="11"/>
  </si>
  <si>
    <t>組合せ表I6列</t>
    <rPh sb="0" eb="2">
      <t>クミアワ</t>
    </rPh>
    <rPh sb="3" eb="4">
      <t>ヒョウ</t>
    </rPh>
    <rPh sb="6" eb="7">
      <t>レツ</t>
    </rPh>
    <phoneticPr fontId="11"/>
  </si>
  <si>
    <t>表7</t>
    <rPh sb="0" eb="1">
      <t>ヒョウ</t>
    </rPh>
    <phoneticPr fontId="11"/>
  </si>
  <si>
    <t>表６を</t>
    <rPh sb="0" eb="1">
      <t>ヒョウ</t>
    </rPh>
    <phoneticPr fontId="11"/>
  </si>
  <si>
    <t>表８</t>
    <rPh sb="0" eb="1">
      <t>ヒョウ</t>
    </rPh>
    <phoneticPr fontId="11"/>
  </si>
  <si>
    <t>表9</t>
    <rPh sb="0" eb="1">
      <t>ヒョウ</t>
    </rPh>
    <phoneticPr fontId="11"/>
  </si>
  <si>
    <t>表10</t>
    <rPh sb="0" eb="1">
      <t>ヒョウ</t>
    </rPh>
    <phoneticPr fontId="11"/>
  </si>
  <si>
    <t>表11</t>
    <rPh sb="0" eb="1">
      <t>ヒョウ</t>
    </rPh>
    <phoneticPr fontId="1"/>
  </si>
  <si>
    <t>表12</t>
    <rPh sb="0" eb="1">
      <t>ヒョウ</t>
    </rPh>
    <phoneticPr fontId="1"/>
  </si>
  <si>
    <t>表１１を参考に表示</t>
    <rPh sb="0" eb="1">
      <t>ヒョウ</t>
    </rPh>
    <rPh sb="4" eb="6">
      <t>サンコウ</t>
    </rPh>
    <rPh sb="7" eb="9">
      <t>ヒョウジ</t>
    </rPh>
    <phoneticPr fontId="11"/>
  </si>
  <si>
    <t>表12を参考に表示</t>
    <rPh sb="0" eb="1">
      <t>ヒョウ</t>
    </rPh>
    <rPh sb="4" eb="6">
      <t>サンコウ</t>
    </rPh>
    <rPh sb="7" eb="9">
      <t>ヒョウジ</t>
    </rPh>
    <phoneticPr fontId="11"/>
  </si>
  <si>
    <t>表13</t>
    <rPh sb="0" eb="1">
      <t>ヒョウ</t>
    </rPh>
    <phoneticPr fontId="11"/>
  </si>
  <si>
    <t>←リンク先ﾃﾞｰﾀ</t>
    <rPh sb="4" eb="5">
      <t>サキ</t>
    </rPh>
    <phoneticPr fontId="11"/>
  </si>
  <si>
    <t>注意</t>
    <rPh sb="0" eb="2">
      <t>チュウイ</t>
    </rPh>
    <phoneticPr fontId="11"/>
  </si>
  <si>
    <t>①会員メンバーの追加は集計ｼｰﾄで行うこと。他のシートへは自動コピーされます。</t>
    <rPh sb="1" eb="3">
      <t>カイイン</t>
    </rPh>
    <rPh sb="8" eb="10">
      <t>ツイカ</t>
    </rPh>
    <rPh sb="11" eb="13">
      <t>シュウケイ</t>
    </rPh>
    <rPh sb="17" eb="18">
      <t>オコナ</t>
    </rPh>
    <rPh sb="22" eb="23">
      <t>ホカ</t>
    </rPh>
    <rPh sb="29" eb="31">
      <t>ジドウ</t>
    </rPh>
    <phoneticPr fontId="11"/>
  </si>
  <si>
    <t>②初期化は「入力中」にして「組合せ表初期化設定」を表1へコピー、ペーストし、「入力完了｣→｢入力中」とすればOK。</t>
    <rPh sb="1" eb="4">
      <t>ショキカ</t>
    </rPh>
    <rPh sb="6" eb="9">
      <t>ニュウリョクチュウ</t>
    </rPh>
    <rPh sb="14" eb="16">
      <t>クミアワ</t>
    </rPh>
    <rPh sb="17" eb="18">
      <t>ヒョウ</t>
    </rPh>
    <rPh sb="18" eb="21">
      <t>ショキカ</t>
    </rPh>
    <rPh sb="21" eb="23">
      <t>セッテイ</t>
    </rPh>
    <rPh sb="25" eb="26">
      <t>ヒョウ</t>
    </rPh>
    <rPh sb="39" eb="41">
      <t>ニュウリョク</t>
    </rPh>
    <rPh sb="41" eb="43">
      <t>カンリョウ</t>
    </rPh>
    <rPh sb="46" eb="49">
      <t>ニュウリョクチュウ</t>
    </rPh>
    <phoneticPr fontId="11"/>
  </si>
  <si>
    <t>表１１－１</t>
    <rPh sb="0" eb="1">
      <t>ヒョウ</t>
    </rPh>
    <phoneticPr fontId="1"/>
  </si>
  <si>
    <t>表11を空欄を右に寄せ、名前を左詰めに並べ替え</t>
    <rPh sb="0" eb="1">
      <t>ヒョウ</t>
    </rPh>
    <rPh sb="4" eb="6">
      <t>クウラン</t>
    </rPh>
    <rPh sb="7" eb="8">
      <t>ミギ</t>
    </rPh>
    <rPh sb="9" eb="10">
      <t>ヨ</t>
    </rPh>
    <rPh sb="12" eb="14">
      <t>ナマエ</t>
    </rPh>
    <rPh sb="15" eb="17">
      <t>ヒダリヅ</t>
    </rPh>
    <rPh sb="19" eb="20">
      <t>ナラ</t>
    </rPh>
    <rPh sb="21" eb="22">
      <t>カ</t>
    </rPh>
    <phoneticPr fontId="1"/>
  </si>
  <si>
    <t>この表と表12を比較することで空欄を除いた名</t>
    <rPh sb="2" eb="3">
      <t>ヒョウ</t>
    </rPh>
    <rPh sb="4" eb="5">
      <t>ヒョウ</t>
    </rPh>
    <rPh sb="8" eb="10">
      <t>ヒカク</t>
    </rPh>
    <rPh sb="15" eb="17">
      <t>クウラン</t>
    </rPh>
    <rPh sb="18" eb="19">
      <t>ノゾ</t>
    </rPh>
    <rPh sb="21" eb="22">
      <t>メイ</t>
    </rPh>
    <phoneticPr fontId="1"/>
  </si>
  <si>
    <t>前対名前で対応表ができる</t>
  </si>
  <si>
    <t>入力データ</t>
    <rPh sb="0" eb="2">
      <t>ニュウリョク</t>
    </rPh>
    <phoneticPr fontId="1"/>
  </si>
  <si>
    <t>年齢処理済</t>
    <rPh sb="0" eb="2">
      <t>ネンレイ</t>
    </rPh>
    <rPh sb="2" eb="4">
      <t>ショリ</t>
    </rPh>
    <rPh sb="4" eb="5">
      <t>スミ</t>
    </rPh>
    <phoneticPr fontId="1"/>
  </si>
  <si>
    <t>各組空欄</t>
    <rPh sb="0" eb="2">
      <t>カククミ</t>
    </rPh>
    <rPh sb="2" eb="4">
      <t>クウラン</t>
    </rPh>
    <phoneticPr fontId="1"/>
  </si>
  <si>
    <t>右寄せ</t>
    <rPh sb="0" eb="1">
      <t>ミギ</t>
    </rPh>
    <rPh sb="1" eb="2">
      <t>ヨ</t>
    </rPh>
    <phoneticPr fontId="1"/>
  </si>
  <si>
    <t>表14</t>
    <rPh sb="0" eb="1">
      <t>ヒョウ</t>
    </rPh>
    <phoneticPr fontId="1"/>
  </si>
  <si>
    <t>表15</t>
    <rPh sb="0" eb="1">
      <t>ヒョウ</t>
    </rPh>
    <phoneticPr fontId="1"/>
  </si>
  <si>
    <t>表16</t>
    <rPh sb="0" eb="1">
      <t>ヒョウ</t>
    </rPh>
    <phoneticPr fontId="1"/>
  </si>
  <si>
    <t>表13のｷｬﾝｾﾙ、blankを消去した表</t>
    <rPh sb="0" eb="1">
      <t>ヒョウ</t>
    </rPh>
    <rPh sb="16" eb="18">
      <t>ショウキョ</t>
    </rPh>
    <rPh sb="20" eb="21">
      <t>ヒョウ</t>
    </rPh>
    <phoneticPr fontId="11"/>
  </si>
  <si>
    <t>以降の標準組合せ表とする。</t>
    <rPh sb="0" eb="2">
      <t>イコウ</t>
    </rPh>
    <rPh sb="3" eb="5">
      <t>ヒョウジュン</t>
    </rPh>
    <rPh sb="5" eb="7">
      <t>クミアワ</t>
    </rPh>
    <rPh sb="8" eb="9">
      <t>ヒョウ</t>
    </rPh>
    <phoneticPr fontId="11"/>
  </si>
  <si>
    <t>入力完時にｼｬｯﾌﾙか</t>
    <rPh sb="0" eb="2">
      <t>ニュウリョク</t>
    </rPh>
    <rPh sb="2" eb="3">
      <t>カン</t>
    </rPh>
    <rPh sb="3" eb="4">
      <t>ジ</t>
    </rPh>
    <phoneticPr fontId="1"/>
  </si>
  <si>
    <t>組合せ通りかを入力完了でHOLDする。</t>
    <rPh sb="7" eb="9">
      <t>ニュウリョク</t>
    </rPh>
    <rPh sb="9" eb="11">
      <t>カンリョウ</t>
    </rPh>
    <phoneticPr fontId="1"/>
  </si>
  <si>
    <t>表１－１</t>
    <rPh sb="0" eb="1">
      <t>ヒョウ</t>
    </rPh>
    <phoneticPr fontId="11"/>
  </si>
  <si>
    <t>名前の初期化と選択の初期化</t>
    <rPh sb="0" eb="2">
      <t>ナマエ</t>
    </rPh>
    <rPh sb="3" eb="6">
      <t>ショキカ</t>
    </rPh>
    <rPh sb="7" eb="9">
      <t>センタク</t>
    </rPh>
    <rPh sb="10" eb="13">
      <t>ショキカ</t>
    </rPh>
    <phoneticPr fontId="11"/>
  </si>
  <si>
    <t>macro1で運用している</t>
    <rPh sb="7" eb="9">
      <t>ウンヨウ</t>
    </rPh>
    <phoneticPr fontId="11"/>
  </si>
  <si>
    <t>L40=2で入力時の値を保持</t>
    <rPh sb="6" eb="9">
      <t>ニュウリョクジ</t>
    </rPh>
    <rPh sb="10" eb="11">
      <t>アタイ</t>
    </rPh>
    <rPh sb="12" eb="14">
      <t>ホジ</t>
    </rPh>
    <phoneticPr fontId="11"/>
  </si>
  <si>
    <t>会員人数以上のNo（AU129)は念のため空白処理</t>
    <rPh sb="0" eb="2">
      <t>カイイン</t>
    </rPh>
    <rPh sb="2" eb="4">
      <t>ニンズウ</t>
    </rPh>
    <rPh sb="4" eb="6">
      <t>イジョウ</t>
    </rPh>
    <rPh sb="17" eb="18">
      <t>ネン</t>
    </rPh>
    <rPh sb="21" eb="23">
      <t>クウハク</t>
    </rPh>
    <rPh sb="23" eb="25">
      <t>ショリ</t>
    </rPh>
    <phoneticPr fontId="11"/>
  </si>
  <si>
    <t>空白処理：重複誤検出を防ぐため会員数以上</t>
    <rPh sb="0" eb="2">
      <t>クウハク</t>
    </rPh>
    <rPh sb="2" eb="4">
      <t>ショリ</t>
    </rPh>
    <rPh sb="5" eb="7">
      <t>チョウフク</t>
    </rPh>
    <rPh sb="7" eb="8">
      <t>ゴ</t>
    </rPh>
    <rPh sb="8" eb="10">
      <t>ケンシュツ</t>
    </rPh>
    <rPh sb="11" eb="12">
      <t>フセ</t>
    </rPh>
    <rPh sb="15" eb="18">
      <t>カイインスウ</t>
    </rPh>
    <rPh sb="18" eb="20">
      <t>イジョウ</t>
    </rPh>
    <phoneticPr fontId="1"/>
  </si>
  <si>
    <t>表2</t>
    <rPh sb="0" eb="1">
      <t>ヒョウ</t>
    </rPh>
    <phoneticPr fontId="11"/>
  </si>
  <si>
    <t>表3</t>
    <rPh sb="0" eb="1">
      <t>ヒョウ</t>
    </rPh>
    <phoneticPr fontId="11"/>
  </si>
  <si>
    <t>表3＋α</t>
    <rPh sb="0" eb="1">
      <t>ヒョウ</t>
    </rPh>
    <phoneticPr fontId="11"/>
  </si>
  <si>
    <t>表2’</t>
    <rPh sb="0" eb="1">
      <t>ヒョウ</t>
    </rPh>
    <phoneticPr fontId="11"/>
  </si>
  <si>
    <t>表3’’</t>
    <rPh sb="0" eb="1">
      <t>ヒョウ</t>
    </rPh>
    <phoneticPr fontId="11"/>
  </si>
  <si>
    <t>集計の氏名ﾘｽﾄ</t>
    <rPh sb="0" eb="2">
      <t>シュウケイ</t>
    </rPh>
    <rPh sb="3" eb="5">
      <t>シメイ</t>
    </rPh>
    <phoneticPr fontId="11"/>
  </si>
  <si>
    <t>氏名ﾘｽﾄをﾗﾝﾀﾞﾑ化</t>
    <rPh sb="0" eb="2">
      <t>シメイ</t>
    </rPh>
    <rPh sb="11" eb="12">
      <t>カ</t>
    </rPh>
    <phoneticPr fontId="11"/>
  </si>
  <si>
    <t>年齢順を実行するとき</t>
    <rPh sb="0" eb="2">
      <t>ネンレイ</t>
    </rPh>
    <rPh sb="2" eb="3">
      <t>ジュン</t>
    </rPh>
    <rPh sb="4" eb="6">
      <t>ジッコウ</t>
    </rPh>
    <phoneticPr fontId="11"/>
  </si>
  <si>
    <t>組合せ通り：表０，５</t>
    <rPh sb="0" eb="2">
      <t>クミアワ</t>
    </rPh>
    <rPh sb="3" eb="4">
      <t>ドオ</t>
    </rPh>
    <rPh sb="6" eb="7">
      <t>ヒョウ</t>
    </rPh>
    <phoneticPr fontId="11"/>
  </si>
  <si>
    <t>ﾗﾝﾀﾞﾑ時：ひょう６，７</t>
    <rPh sb="5" eb="6">
      <t>ジ</t>
    </rPh>
    <phoneticPr fontId="11"/>
  </si>
  <si>
    <t>入力表のﾌﾟﾙﾀﾞｳﾝに表示されるﾘｽﾄ</t>
    <rPh sb="0" eb="2">
      <t>ニュウリョク</t>
    </rPh>
    <rPh sb="2" eb="3">
      <t>ヒョウ</t>
    </rPh>
    <phoneticPr fontId="11"/>
  </si>
  <si>
    <t>表8のBA列が全ての選択を</t>
    <rPh sb="0" eb="1">
      <t>ヒョウ</t>
    </rPh>
    <rPh sb="5" eb="6">
      <t>レツ</t>
    </rPh>
    <rPh sb="7" eb="8">
      <t>スベ</t>
    </rPh>
    <rPh sb="10" eb="12">
      <t>センタク</t>
    </rPh>
    <phoneticPr fontId="11"/>
  </si>
  <si>
    <t>盛り込んだ表示リストになる</t>
    <rPh sb="0" eb="1">
      <t>モ</t>
    </rPh>
    <rPh sb="2" eb="3">
      <t>コ</t>
    </rPh>
    <rPh sb="5" eb="7">
      <t>ヒョウジ</t>
    </rPh>
    <phoneticPr fontId="11"/>
  </si>
  <si>
    <t>表1をコピー</t>
    <rPh sb="0" eb="1">
      <t>ヒョウ</t>
    </rPh>
    <phoneticPr fontId="11"/>
  </si>
  <si>
    <t>名前、スコアをコピー</t>
    <rPh sb="0" eb="2">
      <t>ナマエ</t>
    </rPh>
    <phoneticPr fontId="11"/>
  </si>
  <si>
    <t>縦行列化</t>
    <rPh sb="0" eb="1">
      <t>タテ</t>
    </rPh>
    <rPh sb="1" eb="3">
      <t>ギョウレツ</t>
    </rPh>
    <rPh sb="3" eb="4">
      <t>カ</t>
    </rPh>
    <phoneticPr fontId="11"/>
  </si>
  <si>
    <t>成績記入データの作成</t>
    <rPh sb="0" eb="2">
      <t>セイセキ</t>
    </rPh>
    <rPh sb="2" eb="4">
      <t>キニュウ</t>
    </rPh>
    <rPh sb="8" eb="10">
      <t>サクセイ</t>
    </rPh>
    <phoneticPr fontId="11"/>
  </si>
  <si>
    <t>参加人数＝</t>
    <rPh sb="0" eb="2">
      <t>サンカ</t>
    </rPh>
    <rPh sb="2" eb="4">
      <t>ニンズウ</t>
    </rPh>
    <phoneticPr fontId="11"/>
  </si>
  <si>
    <t>スコア記入人数＝</t>
    <rPh sb="3" eb="5">
      <t>キニュウ</t>
    </rPh>
    <rPh sb="5" eb="7">
      <t>ニンズウ</t>
    </rPh>
    <phoneticPr fontId="11"/>
  </si>
  <si>
    <t>会員数＝</t>
    <rPh sb="0" eb="3">
      <t>カイインスウ</t>
    </rPh>
    <phoneticPr fontId="11"/>
  </si>
  <si>
    <t>氏名ﾘｽﾄ全体の合計＝</t>
    <rPh sb="0" eb="2">
      <t>シメイ</t>
    </rPh>
    <rPh sb="5" eb="7">
      <t>ゼンタイ</t>
    </rPh>
    <rPh sb="8" eb="10">
      <t>ゴウケイ</t>
    </rPh>
    <phoneticPr fontId="11"/>
  </si>
  <si>
    <t>（完全な空白欄を作るとNG、要注意）</t>
    <rPh sb="1" eb="3">
      <t>カンゼン</t>
    </rPh>
    <rPh sb="4" eb="6">
      <t>クウハク</t>
    </rPh>
    <rPh sb="6" eb="7">
      <t>ラン</t>
    </rPh>
    <rPh sb="8" eb="9">
      <t>ツク</t>
    </rPh>
    <rPh sb="14" eb="17">
      <t>ヨウチュウイ</t>
    </rPh>
    <phoneticPr fontId="11"/>
  </si>
  <si>
    <t>成績記入ﾓｰﾄﾞにするか</t>
    <rPh sb="0" eb="2">
      <t>セイセキ</t>
    </rPh>
    <rPh sb="2" eb="4">
      <t>キニュウ</t>
    </rPh>
    <phoneticPr fontId="11"/>
  </si>
  <si>
    <t>ｼｬｯﾌﾙするか</t>
    <phoneticPr fontId="11"/>
  </si>
  <si>
    <t>分岐ｺﾏﾝﾄﾞ⇒</t>
    <rPh sb="0" eb="2">
      <t>ブンキ</t>
    </rPh>
    <phoneticPr fontId="11"/>
  </si>
  <si>
    <t>非公開領域</t>
    <rPh sb="0" eb="1">
      <t>ヒ</t>
    </rPh>
    <rPh sb="1" eb="3">
      <t>コウカイ</t>
    </rPh>
    <rPh sb="3" eb="5">
      <t>リョウイキ</t>
    </rPh>
    <phoneticPr fontId="11"/>
  </si>
  <si>
    <r>
      <t>・「組合せ表」の（黄色）の部分の記入をして下さい</t>
    </r>
    <r>
      <rPr>
        <sz val="10"/>
        <color rgb="FF000000"/>
        <rFont val="Calibri"/>
        <family val="2"/>
      </rPr>
      <t xml:space="preserve"> </t>
    </r>
  </si>
  <si>
    <t>①</t>
    <phoneticPr fontId="11"/>
  </si>
  <si>
    <t>②</t>
    <phoneticPr fontId="11"/>
  </si>
  <si>
    <t>③</t>
    <phoneticPr fontId="11"/>
  </si>
  <si>
    <t>④</t>
    <phoneticPr fontId="11"/>
  </si>
  <si>
    <t>⑤</t>
    <phoneticPr fontId="11"/>
  </si>
  <si>
    <t>　新しい組合せが出来ますので最適な組合せを探せます</t>
    <rPh sb="1" eb="2">
      <t>アタラ</t>
    </rPh>
    <rPh sb="4" eb="6">
      <t>クミアワ</t>
    </rPh>
    <rPh sb="8" eb="10">
      <t>デキ</t>
    </rPh>
    <rPh sb="14" eb="16">
      <t>サイテキ</t>
    </rPh>
    <rPh sb="17" eb="18">
      <t>ク</t>
    </rPh>
    <rPh sb="18" eb="19">
      <t>アワ</t>
    </rPh>
    <rPh sb="21" eb="22">
      <t>サガ</t>
    </rPh>
    <phoneticPr fontId="11"/>
  </si>
  <si>
    <t>シート④：スコア記入依頼用紙</t>
    <rPh sb="8" eb="10">
      <t>キニュウ</t>
    </rPh>
    <rPh sb="10" eb="12">
      <t>イライ</t>
    </rPh>
    <rPh sb="12" eb="14">
      <t>ヨウシ</t>
    </rPh>
    <phoneticPr fontId="1"/>
  </si>
  <si>
    <t>先輩順</t>
    <rPh sb="0" eb="2">
      <t>センパイ</t>
    </rPh>
    <rPh sb="2" eb="3">
      <t>ジュン</t>
    </rPh>
    <phoneticPr fontId="11"/>
  </si>
  <si>
    <t>1:先輩順
２:組合せ通り</t>
    <rPh sb="2" eb="4">
      <t>センパイ</t>
    </rPh>
    <rPh sb="4" eb="5">
      <t>ジュン</t>
    </rPh>
    <rPh sb="8" eb="10">
      <t>クミアワ</t>
    </rPh>
    <rPh sb="11" eb="12">
      <t>ドオ</t>
    </rPh>
    <phoneticPr fontId="11"/>
  </si>
  <si>
    <t>1:組合せ通り
2:ｼｬｯﾌﾙ</t>
    <rPh sb="2" eb="4">
      <t>クミアワ</t>
    </rPh>
    <rPh sb="5" eb="6">
      <t>ドオ</t>
    </rPh>
    <phoneticPr fontId="11"/>
  </si>
  <si>
    <t>↓ﾗﾝﾀﾞﾑへのﾃﾞｰﾀ</t>
    <phoneticPr fontId="11"/>
  </si>
  <si>
    <t>？</t>
    <phoneticPr fontId="11"/>
  </si>
  <si>
    <t>出席者計算</t>
    <rPh sb="0" eb="3">
      <t>シュッセキシャ</t>
    </rPh>
    <rPh sb="3" eb="5">
      <t>ケイサン</t>
    </rPh>
    <phoneticPr fontId="11"/>
  </si>
  <si>
    <t>簡易ﾓｰﾄﾞ</t>
    <rPh sb="0" eb="2">
      <t>カンイ</t>
    </rPh>
    <phoneticPr fontId="11"/>
  </si>
  <si>
    <t>⑧</t>
    <phoneticPr fontId="11"/>
  </si>
  <si>
    <t>⑨</t>
    <phoneticPr fontId="11"/>
  </si>
  <si>
    <t>⑩</t>
    <phoneticPr fontId="11"/>
  </si>
  <si>
    <t>⑥</t>
    <phoneticPr fontId="11"/>
  </si>
  <si>
    <t>1:入力時
2:成績記入</t>
    <rPh sb="2" eb="5">
      <t>ニュウリョクジ</t>
    </rPh>
    <rPh sb="8" eb="10">
      <t>セイセキ</t>
    </rPh>
    <rPh sb="10" eb="12">
      <t>キニュウ</t>
    </rPh>
    <phoneticPr fontId="11"/>
  </si>
  <si>
    <t>幹事リンク</t>
    <rPh sb="0" eb="2">
      <t>カンジ</t>
    </rPh>
    <phoneticPr fontId="11"/>
  </si>
  <si>
    <t>簡易リンク</t>
    <rPh sb="0" eb="2">
      <t>カンイ</t>
    </rPh>
    <phoneticPr fontId="11"/>
  </si>
  <si>
    <t>入力ﾓｰﾄﾞ</t>
    <rPh sb="0" eb="2">
      <t>ニュウリョク</t>
    </rPh>
    <phoneticPr fontId="11"/>
  </si>
  <si>
    <t>　　･入力通りの組合せ</t>
    <rPh sb="3" eb="5">
      <t>ニュウリョク</t>
    </rPh>
    <rPh sb="5" eb="6">
      <t>ドオ</t>
    </rPh>
    <rPh sb="8" eb="10">
      <t>クミアワ</t>
    </rPh>
    <phoneticPr fontId="11"/>
  </si>
  <si>
    <t>フル機能版</t>
    <rPh sb="2" eb="4">
      <t>キノウ</t>
    </rPh>
    <rPh sb="4" eb="5">
      <t>バン</t>
    </rPh>
    <phoneticPr fontId="11"/>
  </si>
  <si>
    <t>･右に手順が表示されます。</t>
    <rPh sb="1" eb="2">
      <t>ミギ</t>
    </rPh>
    <rPh sb="3" eb="5">
      <t>テジュン</t>
    </rPh>
    <rPh sb="6" eb="8">
      <t>ヒョウジ</t>
    </rPh>
    <phoneticPr fontId="11"/>
  </si>
  <si>
    <t>　　･各組内の並び順の整備</t>
    <rPh sb="3" eb="5">
      <t>カククミ</t>
    </rPh>
    <rPh sb="5" eb="6">
      <t>ナイ</t>
    </rPh>
    <rPh sb="7" eb="8">
      <t>ナラ</t>
    </rPh>
    <rPh sb="9" eb="10">
      <t>ジュン</t>
    </rPh>
    <rPh sb="11" eb="13">
      <t>セイビ</t>
    </rPh>
    <phoneticPr fontId="11"/>
  </si>
  <si>
    <t>　　</t>
    <phoneticPr fontId="11"/>
  </si>
  <si>
    <t>･スコアを記入して終了です</t>
    <rPh sb="5" eb="7">
      <t>キニュウ</t>
    </rPh>
    <rPh sb="9" eb="11">
      <t>シュウリョウ</t>
    </rPh>
    <phoneticPr fontId="11"/>
  </si>
  <si>
    <t>回　高崎倶楽部　スコア記入表　</t>
    <rPh sb="0" eb="1">
      <t>カイ</t>
    </rPh>
    <rPh sb="2" eb="4">
      <t>タカサキ</t>
    </rPh>
    <rPh sb="4" eb="7">
      <t>クラブ</t>
    </rPh>
    <rPh sb="11" eb="13">
      <t>キニュウ</t>
    </rPh>
    <rPh sb="13" eb="14">
      <t>ヒョウ</t>
    </rPh>
    <phoneticPr fontId="1"/>
  </si>
  <si>
    <r>
      <t>・</t>
    </r>
    <r>
      <rPr>
        <b/>
        <sz val="10"/>
        <color rgb="FF000000"/>
        <rFont val="ＭＳ Ｐゴシック"/>
        <family val="3"/>
        <charset val="128"/>
      </rPr>
      <t>「組合せ表」の（黄色）の部分の記入をして下さい</t>
    </r>
    <r>
      <rPr>
        <sz val="10"/>
        <color rgb="FF000000"/>
        <rFont val="Calibri"/>
        <family val="2"/>
      </rPr>
      <t xml:space="preserve"> </t>
    </r>
    <phoneticPr fontId="11"/>
  </si>
  <si>
    <t>フル機能</t>
    <rPh sb="2" eb="4">
      <t>キノウ</t>
    </rPh>
    <phoneticPr fontId="11"/>
  </si>
  <si>
    <t>（４）反復計算を行う」に☑をいれ、最大回数＝10、変化の最大値＝0.001として下さい</t>
    <rPh sb="3" eb="5">
      <t>ハンプク</t>
    </rPh>
    <rPh sb="5" eb="7">
      <t>ケイサン</t>
    </rPh>
    <rPh sb="8" eb="9">
      <t>オコナ</t>
    </rPh>
    <rPh sb="40" eb="41">
      <t>クダ</t>
    </rPh>
    <phoneticPr fontId="11"/>
  </si>
  <si>
    <t>HPの成績ー組合せ表作成ツールー簡易版　に掲載中です</t>
    <rPh sb="3" eb="5">
      <t>セイセキ</t>
    </rPh>
    <rPh sb="6" eb="8">
      <t>クミアワ</t>
    </rPh>
    <rPh sb="9" eb="10">
      <t>ヒョウ</t>
    </rPh>
    <rPh sb="10" eb="12">
      <t>サクセイ</t>
    </rPh>
    <rPh sb="16" eb="19">
      <t>カンイバン</t>
    </rPh>
    <rPh sb="21" eb="24">
      <t>ケイサイチュウ</t>
    </rPh>
    <phoneticPr fontId="11"/>
  </si>
  <si>
    <t>第何回</t>
    <rPh sb="0" eb="1">
      <t>ダイ</t>
    </rPh>
    <rPh sb="1" eb="3">
      <t>ナンカイ</t>
    </rPh>
    <phoneticPr fontId="11"/>
  </si>
  <si>
    <t>成績転記用シート　シート名：sheet1で固定のこと</t>
    <rPh sb="0" eb="2">
      <t>セイセキ</t>
    </rPh>
    <rPh sb="2" eb="4">
      <t>テンキ</t>
    </rPh>
    <rPh sb="4" eb="5">
      <t>ヨウ</t>
    </rPh>
    <rPh sb="12" eb="13">
      <t>メイ</t>
    </rPh>
    <rPh sb="21" eb="23">
      <t>コテイ</t>
    </rPh>
    <phoneticPr fontId="1"/>
  </si>
  <si>
    <t>回数＝</t>
    <rPh sb="0" eb="2">
      <t>カイスウ</t>
    </rPh>
    <phoneticPr fontId="1"/>
  </si>
  <si>
    <t>　　・各組内の並び順の整備等</t>
    <rPh sb="3" eb="5">
      <t>カククミ</t>
    </rPh>
    <rPh sb="5" eb="6">
      <t>ナイ</t>
    </rPh>
    <rPh sb="7" eb="8">
      <t>ナラ</t>
    </rPh>
    <rPh sb="9" eb="10">
      <t>ジュン</t>
    </rPh>
    <rPh sb="11" eb="13">
      <t>セイビ</t>
    </rPh>
    <rPh sb="13" eb="14">
      <t>ナド</t>
    </rPh>
    <phoneticPr fontId="11"/>
  </si>
  <si>
    <t>　　･組合せのｼｬｯﾌﾙ</t>
    <rPh sb="3" eb="5">
      <t>クミアワ</t>
    </rPh>
    <phoneticPr fontId="11"/>
  </si>
  <si>
    <t>　　・変更の容易化、</t>
    <rPh sb="3" eb="5">
      <t>ヘンコウ</t>
    </rPh>
    <rPh sb="6" eb="9">
      <t>ヨウイカ</t>
    </rPh>
    <phoneticPr fontId="11"/>
  </si>
  <si>
    <t>⑪</t>
    <phoneticPr fontId="11"/>
  </si>
  <si>
    <t>⑫</t>
    <phoneticPr fontId="11"/>
  </si>
  <si>
    <t>⑬</t>
    <phoneticPr fontId="11"/>
  </si>
  <si>
    <t>空欄です。ﾌﾟﾙﾀﾞｳﾝﾒﾆｭ‐で(1)(2)(3)を選択して下さい</t>
    <rPh sb="0" eb="2">
      <t>クウラン</t>
    </rPh>
    <rPh sb="27" eb="29">
      <t>センタク</t>
    </rPh>
    <rPh sb="31" eb="32">
      <t>クダ</t>
    </rPh>
    <phoneticPr fontId="11"/>
  </si>
  <si>
    <t>標準機能</t>
    <rPh sb="0" eb="2">
      <t>ヒョウジュン</t>
    </rPh>
    <rPh sb="2" eb="4">
      <t>キノウ</t>
    </rPh>
    <phoneticPr fontId="11"/>
  </si>
  <si>
    <t>標準機能版</t>
    <rPh sb="0" eb="2">
      <t>ヒョウジュン</t>
    </rPh>
    <rPh sb="2" eb="4">
      <t>キノウ</t>
    </rPh>
    <rPh sb="4" eb="5">
      <t>バン</t>
    </rPh>
    <phoneticPr fontId="11"/>
  </si>
  <si>
    <t>２．組合せ作成のフロー（標準機能）</t>
    <rPh sb="2" eb="4">
      <t>クミアワ</t>
    </rPh>
    <rPh sb="5" eb="7">
      <t>サクセイ</t>
    </rPh>
    <rPh sb="12" eb="14">
      <t>ヒョウジュン</t>
    </rPh>
    <rPh sb="14" eb="16">
      <t>キノウ</t>
    </rPh>
    <phoneticPr fontId="11"/>
  </si>
  <si>
    <t>３．組合せ作成のフロー（フル機能）</t>
    <rPh sb="2" eb="4">
      <t>クミアワ</t>
    </rPh>
    <rPh sb="5" eb="7">
      <t>サクセイ</t>
    </rPh>
    <rPh sb="14" eb="16">
      <t>キノウ</t>
    </rPh>
    <phoneticPr fontId="11"/>
  </si>
  <si>
    <r>
      <t>・名前は各欄右側の（▼）をクリックして選択してください</t>
    </r>
    <r>
      <rPr>
        <sz val="10"/>
        <color rgb="FF000000"/>
        <rFont val="Calibri"/>
        <family val="2"/>
      </rPr>
      <t xml:space="preserve"> </t>
    </r>
  </si>
  <si>
    <t>　　　五十音順に2段階で表示されます</t>
    <rPh sb="9" eb="11">
      <t>ダンカイ</t>
    </rPh>
    <rPh sb="12" eb="14">
      <t>ヒョウジ</t>
    </rPh>
    <phoneticPr fontId="11"/>
  </si>
  <si>
    <t>・ぜひ今日のゲームの感想、コメントを返信の際に記述ください</t>
  </si>
  <si>
    <t>(1) 組合せ入力</t>
    <rPh sb="4" eb="6">
      <t>クミアワ</t>
    </rPh>
    <rPh sb="7" eb="9">
      <t>ニュウリョク</t>
    </rPh>
    <phoneticPr fontId="11"/>
  </si>
  <si>
    <t>(4) 組合せを修正します（ｼｰﾄ②-⑤へ反映されます）</t>
  </si>
  <si>
    <t>・ぜひ今日のゲームの感想、コメントを返信の際に記述ください</t>
    <rPh sb="3" eb="5">
      <t>キョウ</t>
    </rPh>
    <rPh sb="10" eb="12">
      <t>カンソウ</t>
    </rPh>
    <rPh sb="18" eb="20">
      <t>ヘンシン</t>
    </rPh>
    <rPh sb="21" eb="22">
      <t>サイ</t>
    </rPh>
    <rPh sb="23" eb="25">
      <t>キジュツ</t>
    </rPh>
    <phoneticPr fontId="11"/>
  </si>
  <si>
    <t xml:space="preserve">  --</t>
    <phoneticPr fontId="1"/>
  </si>
  <si>
    <t xml:space="preserve"> --</t>
    <phoneticPr fontId="11"/>
  </si>
  <si>
    <t>プリントし、会場でスコア記入してもらうフォーマット</t>
    <rPh sb="6" eb="8">
      <t>カイジョウ</t>
    </rPh>
    <rPh sb="12" eb="14">
      <t>キニュウ</t>
    </rPh>
    <phoneticPr fontId="11"/>
  </si>
  <si>
    <t xml:space="preserve"> --</t>
    <phoneticPr fontId="11"/>
  </si>
  <si>
    <t>昨年の</t>
    <rPh sb="0" eb="2">
      <t>サクネン</t>
    </rPh>
    <phoneticPr fontId="1"/>
  </si>
  <si>
    <t>平均</t>
    <rPh sb="0" eb="2">
      <t>ヘイキン</t>
    </rPh>
    <phoneticPr fontId="1"/>
  </si>
  <si>
    <t>今年</t>
    <rPh sb="0" eb="2">
      <t>コトシ</t>
    </rPh>
    <phoneticPr fontId="11"/>
  </si>
  <si>
    <t>去年</t>
    <rPh sb="0" eb="2">
      <t>キョネン</t>
    </rPh>
    <phoneticPr fontId="11"/>
  </si>
  <si>
    <t>平均成績表</t>
    <rPh sb="0" eb="2">
      <t>ヘイキン</t>
    </rPh>
    <rPh sb="2" eb="4">
      <t>セイセキ</t>
    </rPh>
    <rPh sb="4" eb="5">
      <t>ヒョウ</t>
    </rPh>
    <phoneticPr fontId="11"/>
  </si>
  <si>
    <t>上段：今年の平均</t>
    <rPh sb="0" eb="2">
      <t>ジョウダン</t>
    </rPh>
    <rPh sb="3" eb="5">
      <t>コトシ</t>
    </rPh>
    <rPh sb="6" eb="8">
      <t>ヘイキン</t>
    </rPh>
    <phoneticPr fontId="11"/>
  </si>
  <si>
    <t>下段：去年の年間平均</t>
    <rPh sb="0" eb="2">
      <t>ゲダン</t>
    </rPh>
    <rPh sb="3" eb="5">
      <t>キョネン</t>
    </rPh>
    <rPh sb="6" eb="8">
      <t>ネンカン</t>
    </rPh>
    <rPh sb="8" eb="10">
      <t>ヘイキン</t>
    </rPh>
    <phoneticPr fontId="11"/>
  </si>
  <si>
    <t>表示する</t>
    <rPh sb="0" eb="2">
      <t>ヒョウジ</t>
    </rPh>
    <phoneticPr fontId="11"/>
  </si>
  <si>
    <t>表示なし</t>
    <rPh sb="0" eb="2">
      <t>ヒョウジ</t>
    </rPh>
    <phoneticPr fontId="11"/>
  </si>
  <si>
    <t>リンク先はAQ31</t>
    <rPh sb="3" eb="4">
      <t>サキ</t>
    </rPh>
    <phoneticPr fontId="11"/>
  </si>
  <si>
    <t>リンク先はAP31</t>
    <rPh sb="3" eb="4">
      <t>サキ</t>
    </rPh>
    <phoneticPr fontId="11"/>
  </si>
  <si>
    <t>成績表示</t>
    <rPh sb="0" eb="2">
      <t>セイセキ</t>
    </rPh>
    <rPh sb="2" eb="4">
      <t>ヒョウジ</t>
    </rPh>
    <phoneticPr fontId="11"/>
  </si>
  <si>
    <t>スコア記入依頼用紙です。プリントして当日の記入依頼に利用ください</t>
    <rPh sb="3" eb="5">
      <t>キニュウ</t>
    </rPh>
    <rPh sb="5" eb="7">
      <t>イライ</t>
    </rPh>
    <rPh sb="7" eb="9">
      <t>ヨウシ</t>
    </rPh>
    <rPh sb="18" eb="20">
      <t>トウジツ</t>
    </rPh>
    <rPh sb="21" eb="23">
      <t>キニュウ</t>
    </rPh>
    <rPh sb="23" eb="25">
      <t>イライ</t>
    </rPh>
    <rPh sb="26" eb="28">
      <t>リヨウ</t>
    </rPh>
    <phoneticPr fontId="1"/>
  </si>
  <si>
    <t>○</t>
    <phoneticPr fontId="11"/>
  </si>
  <si>
    <t>×</t>
    <phoneticPr fontId="11"/>
  </si>
  <si>
    <t>出欠表</t>
    <rPh sb="0" eb="2">
      <t>シュッケツ</t>
    </rPh>
    <rPh sb="2" eb="3">
      <t>ヒョウ</t>
    </rPh>
    <phoneticPr fontId="11"/>
  </si>
  <si>
    <t>出</t>
    <rPh sb="0" eb="1">
      <t>デ</t>
    </rPh>
    <phoneticPr fontId="11"/>
  </si>
  <si>
    <t>←成績記入欄（半角数字）</t>
    <rPh sb="1" eb="3">
      <t>セイセキ</t>
    </rPh>
    <rPh sb="3" eb="5">
      <t>キニュウ</t>
    </rPh>
    <rPh sb="5" eb="6">
      <t>ラン</t>
    </rPh>
    <rPh sb="7" eb="9">
      <t>ハンカク</t>
    </rPh>
    <rPh sb="9" eb="11">
      <t>スウジ</t>
    </rPh>
    <phoneticPr fontId="1"/>
  </si>
  <si>
    <t xml:space="preserve">   欠席も空欄のままに</t>
    <rPh sb="3" eb="5">
      <t>ケッセキ</t>
    </rPh>
    <rPh sb="6" eb="8">
      <t>クウラン</t>
    </rPh>
    <phoneticPr fontId="11"/>
  </si>
  <si>
    <t>出席者=</t>
    <rPh sb="0" eb="3">
      <t>シュッセキシャ</t>
    </rPh>
    <phoneticPr fontId="11"/>
  </si>
  <si>
    <t>欠席者=</t>
    <rPh sb="0" eb="3">
      <t>ケッセキシャ</t>
    </rPh>
    <phoneticPr fontId="11"/>
  </si>
  <si>
    <t>（例）</t>
    <rPh sb="1" eb="2">
      <t>レイ</t>
    </rPh>
    <phoneticPr fontId="11"/>
  </si>
  <si>
    <t>高崎　</t>
    <rPh sb="0" eb="2">
      <t>タカサキ</t>
    </rPh>
    <phoneticPr fontId="11"/>
  </si>
  <si>
    <t>ﾀｶｻｷ　ｶﾝﾉﾝ</t>
    <phoneticPr fontId="11"/>
  </si>
  <si>
    <t>1936/8/10</t>
    <phoneticPr fontId="11"/>
  </si>
  <si>
    <t>場所：</t>
    <rPh sb="0" eb="2">
      <t>バショ</t>
    </rPh>
    <phoneticPr fontId="11"/>
  </si>
  <si>
    <t>欠</t>
    <rPh sb="0" eb="1">
      <t>ケツ</t>
    </rPh>
    <phoneticPr fontId="11"/>
  </si>
  <si>
    <t>ｺﾞﾙﾌ場からのﾌﾟﾚｾﾞﾝﾄ等</t>
    <rPh sb="4" eb="5">
      <t>ジョウ</t>
    </rPh>
    <rPh sb="15" eb="16">
      <t>トウ</t>
    </rPh>
    <phoneticPr fontId="11"/>
  </si>
  <si>
    <t>観音</t>
    <rPh sb="0" eb="2">
      <t>カンノン</t>
    </rPh>
    <phoneticPr fontId="11"/>
  </si>
  <si>
    <t>姓</t>
    <rPh sb="0" eb="1">
      <t>セイ</t>
    </rPh>
    <phoneticPr fontId="11"/>
  </si>
  <si>
    <t>名</t>
    <rPh sb="0" eb="1">
      <t>メイ</t>
    </rPh>
    <phoneticPr fontId="11"/>
  </si>
  <si>
    <t>ﾌﾘｶﾞﾅ</t>
    <phoneticPr fontId="11"/>
  </si>
  <si>
    <t>生年月日</t>
    <rPh sb="0" eb="2">
      <t>セイネン</t>
    </rPh>
    <rPh sb="2" eb="4">
      <t>ガッピ</t>
    </rPh>
    <phoneticPr fontId="11"/>
  </si>
  <si>
    <t>OUT/IN</t>
    <phoneticPr fontId="1"/>
  </si>
  <si>
    <t>ｽﾀｰﾄ時間</t>
    <rPh sb="4" eb="6">
      <t>ジカン</t>
    </rPh>
    <phoneticPr fontId="1"/>
  </si>
  <si>
    <t>参加人数=</t>
    <rPh sb="0" eb="2">
      <t>サンカ</t>
    </rPh>
    <rPh sb="2" eb="4">
      <t>ニンズウ</t>
    </rPh>
    <phoneticPr fontId="1"/>
  </si>
  <si>
    <r>
      <t>ｽｺｱ</t>
    </r>
    <r>
      <rPr>
        <sz val="9"/>
        <rFont val="ＭＳ Ｐゴシック"/>
        <family val="3"/>
        <charset val="128"/>
        <scheme val="minor"/>
      </rPr>
      <t>記入人数=</t>
    </r>
    <rPh sb="3" eb="5">
      <t>キニュウ</t>
    </rPh>
    <rPh sb="5" eb="7">
      <t>ニンズウ</t>
    </rPh>
    <phoneticPr fontId="1"/>
  </si>
  <si>
    <r>
      <t>ｽｺｱ</t>
    </r>
    <r>
      <rPr>
        <sz val="9"/>
        <rFont val="ＭＳ Ｐゴシック"/>
        <family val="3"/>
        <charset val="128"/>
        <scheme val="minor"/>
      </rPr>
      <t>合計=</t>
    </r>
    <rPh sb="3" eb="5">
      <t>ゴウケイ</t>
    </rPh>
    <phoneticPr fontId="1"/>
  </si>
  <si>
    <t>ＯＵＴ/ＩＮ</t>
    <phoneticPr fontId="11"/>
  </si>
  <si>
    <t>ｽﾀｰﾄ時間</t>
    <rPh sb="4" eb="6">
      <t>ジカン</t>
    </rPh>
    <phoneticPr fontId="11"/>
  </si>
  <si>
    <t>第xx回：</t>
    <rPh sb="0" eb="1">
      <t>ダイ</t>
    </rPh>
    <rPh sb="3" eb="4">
      <t>カイ</t>
    </rPh>
    <phoneticPr fontId="11"/>
  </si>
  <si>
    <t>開催日：</t>
    <rPh sb="0" eb="3">
      <t>カイサイビ</t>
    </rPh>
    <phoneticPr fontId="11"/>
  </si>
  <si>
    <t>OUT/IN</t>
  </si>
  <si>
    <t>組合せ表</t>
    <rPh sb="0" eb="2">
      <t>クミアワ</t>
    </rPh>
    <rPh sb="3" eb="4">
      <t>ヒョウ</t>
    </rPh>
    <phoneticPr fontId="1"/>
  </si>
  <si>
    <t>ﾌﾟﾚｾﾞﾝﾄ</t>
    <phoneticPr fontId="1"/>
  </si>
  <si>
    <t>必要行数</t>
    <rPh sb="0" eb="2">
      <t>ヒツヨウ</t>
    </rPh>
    <rPh sb="2" eb="4">
      <t>ギョウスウ</t>
    </rPh>
    <phoneticPr fontId="1"/>
  </si>
  <si>
    <t>場所</t>
    <rPh sb="0" eb="2">
      <t>バショ</t>
    </rPh>
    <phoneticPr fontId="1"/>
  </si>
  <si>
    <t>日付</t>
    <rPh sb="0" eb="2">
      <t>ヒヅケ</t>
    </rPh>
    <phoneticPr fontId="1"/>
  </si>
  <si>
    <t>スコア総合計＝</t>
    <rPh sb="3" eb="4">
      <t>ソウ</t>
    </rPh>
    <rPh sb="4" eb="6">
      <t>ゴウケイ</t>
    </rPh>
    <phoneticPr fontId="1"/>
  </si>
  <si>
    <t>成績記入部分でのスコア合計入力の大元）</t>
    <rPh sb="0" eb="2">
      <t>セイセキ</t>
    </rPh>
    <rPh sb="2" eb="4">
      <t>キニュウ</t>
    </rPh>
    <rPh sb="4" eb="6">
      <t>ブブン</t>
    </rPh>
    <rPh sb="11" eb="13">
      <t>ゴウケイ</t>
    </rPh>
    <rPh sb="13" eb="15">
      <t>ニュウリョク</t>
    </rPh>
    <rPh sb="16" eb="17">
      <t>ダイ</t>
    </rPh>
    <rPh sb="17" eb="18">
      <t>モト</t>
    </rPh>
    <phoneticPr fontId="1"/>
  </si>
  <si>
    <t>今回スコア合計</t>
    <rPh sb="0" eb="2">
      <t>コンカイ</t>
    </rPh>
    <rPh sb="5" eb="7">
      <t>ゴウケイ</t>
    </rPh>
    <phoneticPr fontId="1"/>
  </si>
  <si>
    <t>スコア合計＝</t>
    <rPh sb="3" eb="5">
      <t>ゴウケイ</t>
    </rPh>
    <phoneticPr fontId="11"/>
  </si>
  <si>
    <t>追加名簿があった場合ここに記述される</t>
    <rPh sb="0" eb="2">
      <t>ツイカ</t>
    </rPh>
    <rPh sb="2" eb="4">
      <t>メイボ</t>
    </rPh>
    <rPh sb="8" eb="10">
      <t>バアイ</t>
    </rPh>
    <rPh sb="13" eb="15">
      <t>キジュツ</t>
    </rPh>
    <phoneticPr fontId="1"/>
  </si>
  <si>
    <t>No64,65は追加名簿にリンク</t>
    <rPh sb="8" eb="10">
      <t>ツイカ</t>
    </rPh>
    <rPh sb="10" eb="12">
      <t>メイボ</t>
    </rPh>
    <phoneticPr fontId="1"/>
  </si>
  <si>
    <t>No64,65：生年月日が空欄の場合は10-11を割り当て</t>
    <rPh sb="8" eb="10">
      <t>セイネン</t>
    </rPh>
    <rPh sb="10" eb="12">
      <t>ガッピ</t>
    </rPh>
    <rPh sb="13" eb="15">
      <t>クウラン</t>
    </rPh>
    <rPh sb="16" eb="18">
      <t>バアイ</t>
    </rPh>
    <rPh sb="25" eb="26">
      <t>ワ</t>
    </rPh>
    <rPh sb="27" eb="28">
      <t>ア</t>
    </rPh>
    <phoneticPr fontId="1"/>
  </si>
  <si>
    <t>No64,65</t>
    <phoneticPr fontId="1"/>
  </si>
  <si>
    <t>名簿の原点。ここへ連絡先原紙の必要項目をｺﾋﾟｰする</t>
    <rPh sb="0" eb="2">
      <t>メイボ</t>
    </rPh>
    <rPh sb="3" eb="5">
      <t>ゲンテン</t>
    </rPh>
    <rPh sb="9" eb="12">
      <t>レンラクサキ</t>
    </rPh>
    <rPh sb="12" eb="14">
      <t>ゲンシ</t>
    </rPh>
    <rPh sb="15" eb="17">
      <t>ヒツヨウ</t>
    </rPh>
    <rPh sb="17" eb="19">
      <t>コウモク</t>
    </rPh>
    <phoneticPr fontId="1"/>
  </si>
  <si>
    <t>成績表の表示はNo65まで</t>
    <rPh sb="0" eb="2">
      <t>セイセキ</t>
    </rPh>
    <rPh sb="2" eb="3">
      <t>ヒョウ</t>
    </rPh>
    <rPh sb="4" eb="6">
      <t>ヒョウジ</t>
    </rPh>
    <phoneticPr fontId="1"/>
  </si>
  <si>
    <t>名簿臨時追加分→</t>
    <rPh sb="0" eb="2">
      <t>メイボ</t>
    </rPh>
    <rPh sb="2" eb="4">
      <t>リンジ</t>
    </rPh>
    <rPh sb="4" eb="6">
      <t>ツイカ</t>
    </rPh>
    <rPh sb="6" eb="7">
      <t>ブン</t>
    </rPh>
    <phoneticPr fontId="11"/>
  </si>
  <si>
    <t>ここまでは従来通り</t>
    <rPh sb="5" eb="7">
      <t>ジュウライ</t>
    </rPh>
    <rPh sb="7" eb="8">
      <t>ドオ</t>
    </rPh>
    <phoneticPr fontId="11"/>
  </si>
  <si>
    <t>ここまでは従来通り</t>
    <rPh sb="5" eb="7">
      <t>ジュウライ</t>
    </rPh>
    <rPh sb="7" eb="8">
      <t>ドオ</t>
    </rPh>
    <phoneticPr fontId="1"/>
  </si>
  <si>
    <t>出席者ﾘｽﾄ</t>
    <rPh sb="0" eb="3">
      <t>シュッセキシャ</t>
    </rPh>
    <phoneticPr fontId="1"/>
  </si>
  <si>
    <t>から空白を除く</t>
    <rPh sb="2" eb="4">
      <t>クウハク</t>
    </rPh>
    <rPh sb="5" eb="6">
      <t>ノゾ</t>
    </rPh>
    <phoneticPr fontId="1"/>
  </si>
  <si>
    <t>11/23追加</t>
    <rPh sb="5" eb="7">
      <t>ツイカ</t>
    </rPh>
    <phoneticPr fontId="1"/>
  </si>
  <si>
    <t>成績表示</t>
    <rPh sb="0" eb="2">
      <t>セイセキ</t>
    </rPh>
    <rPh sb="2" eb="4">
      <t>ヒョウジ</t>
    </rPh>
    <phoneticPr fontId="11"/>
  </si>
  <si>
    <t>1:表示しない
2:表示する</t>
    <rPh sb="2" eb="4">
      <t>ヒョウジ</t>
    </rPh>
    <rPh sb="10" eb="12">
      <t>ヒョウジ</t>
    </rPh>
    <phoneticPr fontId="11"/>
  </si>
  <si>
    <t>今年の</t>
    <rPh sb="0" eb="2">
      <t>コトシ</t>
    </rPh>
    <phoneticPr fontId="1"/>
  </si>
  <si>
    <t>平均</t>
    <rPh sb="0" eb="2">
      <t>ヘイキン</t>
    </rPh>
    <phoneticPr fontId="1"/>
  </si>
  <si>
    <t>（固定）</t>
    <rPh sb="1" eb="3">
      <t>コテイ</t>
    </rPh>
    <phoneticPr fontId="1"/>
  </si>
  <si>
    <t>(ﾏｸﾛから）</t>
    <phoneticPr fontId="1"/>
  </si>
  <si>
    <t>←平均ｽｺｱ0.0表示：中止回</t>
    <rPh sb="1" eb="3">
      <t>ヘイキン</t>
    </rPh>
    <rPh sb="9" eb="11">
      <t>ヒョウジ</t>
    </rPh>
    <rPh sb="12" eb="14">
      <t>チュウシ</t>
    </rPh>
    <rPh sb="14" eb="15">
      <t>カイ</t>
    </rPh>
    <phoneticPr fontId="1"/>
  </si>
  <si>
    <t>（除く、タイトル行）</t>
    <rPh sb="1" eb="2">
      <t>ノゾ</t>
    </rPh>
    <rPh sb="8" eb="9">
      <t>ギョウ</t>
    </rPh>
    <phoneticPr fontId="1"/>
  </si>
  <si>
    <t>Ｓ列とＴ列がｼｬｯﾌﾙ時の</t>
    <rPh sb="1" eb="2">
      <t>レツ</t>
    </rPh>
    <rPh sb="4" eb="5">
      <t>レツ</t>
    </rPh>
    <rPh sb="11" eb="12">
      <t>ジ</t>
    </rPh>
    <phoneticPr fontId="1"/>
  </si>
  <si>
    <t>入替え行列</t>
    <rPh sb="0" eb="2">
      <t>イレカ</t>
    </rPh>
    <rPh sb="3" eb="5">
      <t>ギョウレツ</t>
    </rPh>
    <phoneticPr fontId="1"/>
  </si>
  <si>
    <t>　　---(6)でも変更、ｷｬﾝｾﾙ等、直前の変更が可能です---</t>
    <rPh sb="10" eb="12">
      <t>ヘンコウ</t>
    </rPh>
    <rPh sb="18" eb="19">
      <t>トウ</t>
    </rPh>
    <rPh sb="20" eb="22">
      <t>チョクゼン</t>
    </rPh>
    <rPh sb="23" eb="25">
      <t>ヘンコウ</t>
    </rPh>
    <rPh sb="26" eb="28">
      <t>カノウ</t>
    </rPh>
    <phoneticPr fontId="11"/>
  </si>
  <si>
    <t>１．エクセルのﾌﾟﾙﾀﾞｳﾝ機能　　右の図で実際に動作させられます</t>
    <rPh sb="14" eb="16">
      <t>キノウ</t>
    </rPh>
    <rPh sb="18" eb="19">
      <t>ミギ</t>
    </rPh>
    <rPh sb="20" eb="21">
      <t>ズ</t>
    </rPh>
    <rPh sb="22" eb="24">
      <t>ジッサイ</t>
    </rPh>
    <rPh sb="25" eb="27">
      <t>ドウサ</t>
    </rPh>
    <phoneticPr fontId="73"/>
  </si>
  <si>
    <t>（表1）</t>
    <rPh sb="1" eb="2">
      <t>ヒョウ</t>
    </rPh>
    <phoneticPr fontId="73"/>
  </si>
  <si>
    <t>（表2）</t>
    <rPh sb="1" eb="2">
      <t>ヒョウ</t>
    </rPh>
    <phoneticPr fontId="73"/>
  </si>
  <si>
    <t>設定した縦行列範囲（表1）の上から順に番号を指定する。</t>
    <rPh sb="0" eb="2">
      <t>セッテイ</t>
    </rPh>
    <rPh sb="4" eb="5">
      <t>タテ</t>
    </rPh>
    <rPh sb="5" eb="7">
      <t>ギョウレツ</t>
    </rPh>
    <rPh sb="7" eb="9">
      <t>ハンイ</t>
    </rPh>
    <rPh sb="10" eb="11">
      <t>ヒョウ</t>
    </rPh>
    <rPh sb="14" eb="15">
      <t>ウエ</t>
    </rPh>
    <rPh sb="17" eb="18">
      <t>ジュン</t>
    </rPh>
    <rPh sb="19" eb="21">
      <t>バンゴウ</t>
    </rPh>
    <rPh sb="22" eb="24">
      <t>シテイ</t>
    </rPh>
    <phoneticPr fontId="73"/>
  </si>
  <si>
    <t>Ａ</t>
    <phoneticPr fontId="73"/>
  </si>
  <si>
    <t>入力1 に対応</t>
    <rPh sb="0" eb="2">
      <t>ニュウリョク</t>
    </rPh>
    <rPh sb="5" eb="7">
      <t>タイオウ</t>
    </rPh>
    <phoneticPr fontId="73"/>
  </si>
  <si>
    <t>ﾌﾟﾙﾀﾞｳﾝﾒﾆｭｰの上から5番目にあるＥさんをクリックすると指定したセル(表2）に「５」が記録され、表示もＥになる。</t>
    <rPh sb="12" eb="13">
      <t>ウエ</t>
    </rPh>
    <rPh sb="16" eb="18">
      <t>バンメ</t>
    </rPh>
    <rPh sb="32" eb="34">
      <t>シテイ</t>
    </rPh>
    <rPh sb="39" eb="40">
      <t>ヒョウ</t>
    </rPh>
    <rPh sb="47" eb="49">
      <t>キロク</t>
    </rPh>
    <rPh sb="52" eb="54">
      <t>ヒョウジ</t>
    </rPh>
    <phoneticPr fontId="73"/>
  </si>
  <si>
    <t>Ｂ</t>
    <phoneticPr fontId="73"/>
  </si>
  <si>
    <t>入力2 に対応</t>
    <rPh sb="0" eb="2">
      <t>ニュウリョク</t>
    </rPh>
    <rPh sb="5" eb="7">
      <t>タイオウ</t>
    </rPh>
    <phoneticPr fontId="73"/>
  </si>
  <si>
    <t>この記録は双方向性で例えば指定されたセルを「３」に変えると表示もＣさんに変わる</t>
    <rPh sb="2" eb="4">
      <t>キロク</t>
    </rPh>
    <rPh sb="5" eb="6">
      <t>ソウ</t>
    </rPh>
    <rPh sb="6" eb="8">
      <t>ホウコウ</t>
    </rPh>
    <rPh sb="8" eb="9">
      <t>セイ</t>
    </rPh>
    <rPh sb="10" eb="11">
      <t>タト</t>
    </rPh>
    <rPh sb="13" eb="15">
      <t>シテイ</t>
    </rPh>
    <rPh sb="25" eb="26">
      <t>カ</t>
    </rPh>
    <rPh sb="29" eb="31">
      <t>ヒョウジ</t>
    </rPh>
    <rPh sb="36" eb="37">
      <t>カ</t>
    </rPh>
    <phoneticPr fontId="73"/>
  </si>
  <si>
    <t>Ｃ</t>
    <phoneticPr fontId="73"/>
  </si>
  <si>
    <t>この機能を利用して組合せ成績表が作られています。</t>
    <rPh sb="2" eb="4">
      <t>キノウ</t>
    </rPh>
    <rPh sb="5" eb="7">
      <t>リヨウ</t>
    </rPh>
    <rPh sb="9" eb="11">
      <t>クミアワ</t>
    </rPh>
    <rPh sb="12" eb="14">
      <t>セイセキ</t>
    </rPh>
    <rPh sb="14" eb="15">
      <t>ヒョウ</t>
    </rPh>
    <rPh sb="16" eb="17">
      <t>ツク</t>
    </rPh>
    <phoneticPr fontId="73"/>
  </si>
  <si>
    <t>Ｄ</t>
    <phoneticPr fontId="73"/>
  </si>
  <si>
    <t>Ｅ</t>
    <phoneticPr fontId="73"/>
  </si>
  <si>
    <t>２．シート①　組合せ表の構造</t>
    <rPh sb="7" eb="9">
      <t>クミアワ</t>
    </rPh>
    <rPh sb="10" eb="11">
      <t>ヒョウ</t>
    </rPh>
    <rPh sb="12" eb="14">
      <t>コウゾウ</t>
    </rPh>
    <phoneticPr fontId="73"/>
  </si>
  <si>
    <t>ﾌﾟﾙﾀﾞｳﾝ機能を使い4人＊必要組数分の入力を用意し名簿ﾘｽﾄを使い数値化した入力を使えば組合せ表が出来る。</t>
    <rPh sb="7" eb="9">
      <t>キノウ</t>
    </rPh>
    <rPh sb="10" eb="11">
      <t>ツカ</t>
    </rPh>
    <rPh sb="13" eb="14">
      <t>ニン</t>
    </rPh>
    <rPh sb="15" eb="17">
      <t>ヒツヨウ</t>
    </rPh>
    <rPh sb="17" eb="18">
      <t>クミ</t>
    </rPh>
    <rPh sb="18" eb="19">
      <t>スウ</t>
    </rPh>
    <rPh sb="19" eb="20">
      <t>ブン</t>
    </rPh>
    <rPh sb="21" eb="23">
      <t>ニュウリョク</t>
    </rPh>
    <rPh sb="24" eb="26">
      <t>ヨウイ</t>
    </rPh>
    <rPh sb="27" eb="29">
      <t>メイボ</t>
    </rPh>
    <rPh sb="33" eb="34">
      <t>ツカ</t>
    </rPh>
    <rPh sb="35" eb="38">
      <t>スウチカ</t>
    </rPh>
    <rPh sb="40" eb="42">
      <t>ニュウリョク</t>
    </rPh>
    <rPh sb="43" eb="44">
      <t>ツカ</t>
    </rPh>
    <rPh sb="46" eb="48">
      <t>クミアワ</t>
    </rPh>
    <rPh sb="49" eb="50">
      <t>ヒョウ</t>
    </rPh>
    <rPh sb="51" eb="53">
      <t>デキ</t>
    </rPh>
    <phoneticPr fontId="73"/>
  </si>
  <si>
    <t>この組合せに対して（1）追加、変更可能、（2）ｼｬｯﾌﾙ、（3）年齢順に並替えが出来るように加工する</t>
    <rPh sb="2" eb="4">
      <t>クミアワ</t>
    </rPh>
    <rPh sb="6" eb="7">
      <t>タイ</t>
    </rPh>
    <rPh sb="12" eb="14">
      <t>ツイカ</t>
    </rPh>
    <rPh sb="15" eb="17">
      <t>ヘンコウ</t>
    </rPh>
    <rPh sb="17" eb="19">
      <t>カノウ</t>
    </rPh>
    <rPh sb="32" eb="34">
      <t>ネンレイ</t>
    </rPh>
    <rPh sb="34" eb="35">
      <t>ジュン</t>
    </rPh>
    <rPh sb="36" eb="37">
      <t>ナラ</t>
    </rPh>
    <rPh sb="37" eb="38">
      <t>カ</t>
    </rPh>
    <rPh sb="40" eb="42">
      <t>デキ</t>
    </rPh>
    <rPh sb="46" eb="48">
      <t>カコウ</t>
    </rPh>
    <phoneticPr fontId="73"/>
  </si>
  <si>
    <t>手順としてｼｬｯﾌﾙ前とｼｬｯﾌﾙ後の各々に対して年齢順の並替えを行う。</t>
    <rPh sb="0" eb="2">
      <t>テジュン</t>
    </rPh>
    <rPh sb="10" eb="11">
      <t>マエ</t>
    </rPh>
    <rPh sb="17" eb="18">
      <t>ゴ</t>
    </rPh>
    <rPh sb="19" eb="21">
      <t>オノオノ</t>
    </rPh>
    <rPh sb="22" eb="23">
      <t>タイ</t>
    </rPh>
    <rPh sb="25" eb="27">
      <t>ネンレイ</t>
    </rPh>
    <rPh sb="27" eb="28">
      <t>ジュン</t>
    </rPh>
    <rPh sb="29" eb="30">
      <t>ナラ</t>
    </rPh>
    <rPh sb="30" eb="31">
      <t>カ</t>
    </rPh>
    <rPh sb="33" eb="34">
      <t>オコナ</t>
    </rPh>
    <phoneticPr fontId="73"/>
  </si>
  <si>
    <t>ｼｬｯﾌﾙ、及び</t>
    <rPh sb="6" eb="7">
      <t>オヨ</t>
    </rPh>
    <phoneticPr fontId="73"/>
  </si>
  <si>
    <t>名簿ﾘｽﾄから欠席者を消去すれば（2）ｼｬｯﾌﾙが容易になるがﾒﾝﾊﾞｰ追加が出来なくなる。</t>
    <rPh sb="0" eb="2">
      <t>メイボ</t>
    </rPh>
    <rPh sb="7" eb="10">
      <t>ケッセキシャ</t>
    </rPh>
    <rPh sb="11" eb="13">
      <t>ショウキョ</t>
    </rPh>
    <rPh sb="25" eb="27">
      <t>ヨウイ</t>
    </rPh>
    <rPh sb="36" eb="38">
      <t>ツイカ</t>
    </rPh>
    <rPh sb="39" eb="41">
      <t>デキ</t>
    </rPh>
    <phoneticPr fontId="73"/>
  </si>
  <si>
    <t>追加、変更可能</t>
    <rPh sb="0" eb="2">
      <t>ツイカ</t>
    </rPh>
    <rPh sb="3" eb="5">
      <t>ヘンコウ</t>
    </rPh>
    <rPh sb="5" eb="7">
      <t>カノウ</t>
    </rPh>
    <phoneticPr fontId="73"/>
  </si>
  <si>
    <t>このため次の操作を行い全員の名簿を維持しながらｼｬｯﾌﾙが行えるようにする</t>
    <rPh sb="4" eb="5">
      <t>ツギ</t>
    </rPh>
    <rPh sb="6" eb="8">
      <t>ソウサ</t>
    </rPh>
    <rPh sb="9" eb="10">
      <t>オコナ</t>
    </rPh>
    <rPh sb="11" eb="13">
      <t>ゼンイン</t>
    </rPh>
    <rPh sb="14" eb="16">
      <t>メイボ</t>
    </rPh>
    <rPh sb="17" eb="19">
      <t>イジ</t>
    </rPh>
    <rPh sb="29" eb="30">
      <t>オコナ</t>
    </rPh>
    <phoneticPr fontId="73"/>
  </si>
  <si>
    <t>①組合せ表入力から出席者ﾘｽﾄを作成し各々に乱数を対応させる</t>
    <rPh sb="1" eb="3">
      <t>クミアワ</t>
    </rPh>
    <rPh sb="4" eb="5">
      <t>ヒョウ</t>
    </rPh>
    <rPh sb="5" eb="7">
      <t>ニュウリョク</t>
    </rPh>
    <rPh sb="9" eb="12">
      <t>シュッセキシャ</t>
    </rPh>
    <rPh sb="16" eb="18">
      <t>サクセイ</t>
    </rPh>
    <rPh sb="19" eb="21">
      <t>オノオノ</t>
    </rPh>
    <rPh sb="22" eb="24">
      <t>ランスウ</t>
    </rPh>
    <rPh sb="25" eb="27">
      <t>タイオウ</t>
    </rPh>
    <phoneticPr fontId="73"/>
  </si>
  <si>
    <t>②乱数前の出席者ﾘｽﾄと乱数順に並べ変えた出席者ﾘｽﾄを作り対応表にする</t>
    <rPh sb="1" eb="3">
      <t>ランスウ</t>
    </rPh>
    <rPh sb="3" eb="4">
      <t>マエ</t>
    </rPh>
    <rPh sb="5" eb="8">
      <t>シュッセキシャ</t>
    </rPh>
    <rPh sb="12" eb="14">
      <t>ランスウ</t>
    </rPh>
    <rPh sb="14" eb="15">
      <t>ジュン</t>
    </rPh>
    <rPh sb="16" eb="17">
      <t>ナラ</t>
    </rPh>
    <rPh sb="18" eb="19">
      <t>カ</t>
    </rPh>
    <rPh sb="21" eb="24">
      <t>シュッセキシャ</t>
    </rPh>
    <rPh sb="28" eb="29">
      <t>ツク</t>
    </rPh>
    <rPh sb="30" eb="32">
      <t>タイオウ</t>
    </rPh>
    <rPh sb="32" eb="33">
      <t>ヒョウ</t>
    </rPh>
    <phoneticPr fontId="73"/>
  </si>
  <si>
    <t>③全員名簿ﾘｽﾄにて出席者に関して②の対応表で名前（No）を入れ替え、欠席者はそのままとする。</t>
    <rPh sb="1" eb="3">
      <t>ゼンイン</t>
    </rPh>
    <rPh sb="3" eb="5">
      <t>メイボ</t>
    </rPh>
    <rPh sb="10" eb="13">
      <t>シュッセキシャ</t>
    </rPh>
    <rPh sb="14" eb="15">
      <t>カン</t>
    </rPh>
    <rPh sb="19" eb="21">
      <t>タイオウ</t>
    </rPh>
    <rPh sb="21" eb="22">
      <t>ヒョウ</t>
    </rPh>
    <rPh sb="23" eb="25">
      <t>ナマエ</t>
    </rPh>
    <rPh sb="30" eb="31">
      <t>イ</t>
    </rPh>
    <rPh sb="32" eb="33">
      <t>カ</t>
    </rPh>
    <rPh sb="35" eb="38">
      <t>ケッセキシャ</t>
    </rPh>
    <phoneticPr fontId="73"/>
  </si>
  <si>
    <t>④この結果、ｴｸｾﾙ上の入力ﾃﾞｰﾀはｼｬｯﾌﾙされ、組合せ表入力の名前もｼｬｯﾌﾙされ、
　名簿リストには全員の名前が表示される</t>
    <rPh sb="3" eb="5">
      <t>ケッカ</t>
    </rPh>
    <rPh sb="10" eb="11">
      <t>ジョウ</t>
    </rPh>
    <rPh sb="12" eb="14">
      <t>ニュウリョク</t>
    </rPh>
    <rPh sb="27" eb="29">
      <t>クミアワ</t>
    </rPh>
    <rPh sb="30" eb="31">
      <t>ヒョウ</t>
    </rPh>
    <rPh sb="31" eb="33">
      <t>ニュウリョク</t>
    </rPh>
    <rPh sb="34" eb="36">
      <t>ナマエ</t>
    </rPh>
    <rPh sb="47" eb="49">
      <t>メイボ</t>
    </rPh>
    <rPh sb="54" eb="56">
      <t>ゼンイン</t>
    </rPh>
    <rPh sb="57" eb="59">
      <t>ナマエ</t>
    </rPh>
    <rPh sb="60" eb="62">
      <t>ヒョウジ</t>
    </rPh>
    <phoneticPr fontId="73"/>
  </si>
  <si>
    <t>年齢順並替え</t>
    <rPh sb="0" eb="2">
      <t>ネンレイ</t>
    </rPh>
    <rPh sb="2" eb="3">
      <t>ジュン</t>
    </rPh>
    <rPh sb="3" eb="4">
      <t>ナラ</t>
    </rPh>
    <rPh sb="4" eb="5">
      <t>カ</t>
    </rPh>
    <phoneticPr fontId="73"/>
  </si>
  <si>
    <t>①組合せ表に入力された各組内のﾒﾝﾊﾞｰ（ｼｬｯﾌﾙ前、及びｼｬｯﾌﾙ後）に対して年齢ﾃﾞｰﾀを対応させる。
　年齢データは別シートに記載</t>
    <rPh sb="1" eb="3">
      <t>クミアワ</t>
    </rPh>
    <rPh sb="4" eb="5">
      <t>ヒョウ</t>
    </rPh>
    <rPh sb="6" eb="8">
      <t>ニュウリョク</t>
    </rPh>
    <rPh sb="11" eb="13">
      <t>カククミ</t>
    </rPh>
    <rPh sb="13" eb="14">
      <t>ナイ</t>
    </rPh>
    <rPh sb="26" eb="27">
      <t>、</t>
    </rPh>
    <rPh sb="27" eb="29">
      <t>オヨビ</t>
    </rPh>
    <rPh sb="35" eb="36">
      <t>）</t>
    </rPh>
    <rPh sb="38" eb="40">
      <t>シテ</t>
    </rPh>
    <rPh sb="40" eb="42">
      <t>ネンレイ</t>
    </rPh>
    <rPh sb="42" eb="45">
      <t>データ</t>
    </rPh>
    <rPh sb="47" eb="51">
      <t>イオウサセル</t>
    </rPh>
    <rPh sb="56" eb="58">
      <t>ネンレイ</t>
    </rPh>
    <rPh sb="62" eb="63">
      <t>ベツ</t>
    </rPh>
    <rPh sb="67" eb="69">
      <t>キサイ</t>
    </rPh>
    <phoneticPr fontId="73"/>
  </si>
  <si>
    <t>②年齢データに従って左から並べ直す。</t>
    <rPh sb="1" eb="3">
      <t>ネンレイ</t>
    </rPh>
    <rPh sb="7" eb="8">
      <t>シタガ</t>
    </rPh>
    <rPh sb="10" eb="11">
      <t>ヒダリ</t>
    </rPh>
    <rPh sb="13" eb="14">
      <t>ナラ</t>
    </rPh>
    <rPh sb="15" eb="16">
      <t>ナオ</t>
    </rPh>
    <phoneticPr fontId="73"/>
  </si>
  <si>
    <t>③空欄、ｷｬﾝｾﾙ、幹事が右端になるように最も若い数値を設定する。</t>
    <rPh sb="1" eb="3">
      <t>クウラン</t>
    </rPh>
    <rPh sb="10" eb="12">
      <t>カンジ</t>
    </rPh>
    <rPh sb="13" eb="15">
      <t>ミギハシ</t>
    </rPh>
    <rPh sb="21" eb="22">
      <t>モット</t>
    </rPh>
    <rPh sb="23" eb="24">
      <t>ワカ</t>
    </rPh>
    <rPh sb="25" eb="27">
      <t>スウチ</t>
    </rPh>
    <rPh sb="28" eb="30">
      <t>セッテイ</t>
    </rPh>
    <phoneticPr fontId="73"/>
  </si>
  <si>
    <t>　　但し、組合せ表入力では空欄を右端に持ってくることは不可。シート②以降では右端になっている</t>
    <rPh sb="2" eb="3">
      <t>タダ</t>
    </rPh>
    <rPh sb="5" eb="7">
      <t>クミアワ</t>
    </rPh>
    <rPh sb="8" eb="9">
      <t>ヒョウ</t>
    </rPh>
    <rPh sb="9" eb="11">
      <t>ニュウリョク</t>
    </rPh>
    <rPh sb="13" eb="15">
      <t>クウラン</t>
    </rPh>
    <rPh sb="16" eb="18">
      <t>ミギハシ</t>
    </rPh>
    <rPh sb="19" eb="20">
      <t>モ</t>
    </rPh>
    <rPh sb="27" eb="29">
      <t>フカ</t>
    </rPh>
    <rPh sb="34" eb="36">
      <t>イコウ</t>
    </rPh>
    <rPh sb="38" eb="40">
      <t>ミギハシ</t>
    </rPh>
    <phoneticPr fontId="73"/>
  </si>
  <si>
    <t>３．シート②③④</t>
    <phoneticPr fontId="73"/>
  </si>
  <si>
    <t>シート①からの引用でシート②③④を作成する。</t>
    <rPh sb="7" eb="9">
      <t>インヨウ</t>
    </rPh>
    <rPh sb="17" eb="19">
      <t>サクセイ</t>
    </rPh>
    <phoneticPr fontId="73"/>
  </si>
  <si>
    <t>シート③の名簿フリカナは別シートからデータを挿入</t>
    <rPh sb="5" eb="7">
      <t>メイボ</t>
    </rPh>
    <rPh sb="12" eb="13">
      <t>ベツ</t>
    </rPh>
    <rPh sb="22" eb="24">
      <t>ソウニュウ</t>
    </rPh>
    <phoneticPr fontId="73"/>
  </si>
  <si>
    <t>４．シート⑤</t>
    <phoneticPr fontId="73"/>
  </si>
  <si>
    <t>　開催回数はシート①に記入したもの</t>
    <phoneticPr fontId="73"/>
  </si>
  <si>
    <t>５．この他のシート</t>
    <rPh sb="4" eb="5">
      <t>ホカ</t>
    </rPh>
    <phoneticPr fontId="73"/>
  </si>
  <si>
    <t>組合せのｼｬｯﾌﾙの処理を行うシート</t>
    <rPh sb="0" eb="2">
      <t>クミアワ</t>
    </rPh>
    <rPh sb="10" eb="12">
      <t>ショリ</t>
    </rPh>
    <rPh sb="13" eb="14">
      <t>オコナ</t>
    </rPh>
    <phoneticPr fontId="73"/>
  </si>
  <si>
    <t>　　（非表示です）</t>
    <rPh sb="3" eb="6">
      <t>ヒヒョウジ</t>
    </rPh>
    <phoneticPr fontId="73"/>
  </si>
  <si>
    <t>シート①名簿ﾘｽﾄ、成績表の左端名簿等の名簿管理を行うシート</t>
    <rPh sb="4" eb="6">
      <t>メイボ</t>
    </rPh>
    <rPh sb="10" eb="12">
      <t>セイセキ</t>
    </rPh>
    <rPh sb="12" eb="13">
      <t>ヒョウ</t>
    </rPh>
    <rPh sb="14" eb="16">
      <t>ヒダリハシ</t>
    </rPh>
    <rPh sb="16" eb="18">
      <t>メイボ</t>
    </rPh>
    <rPh sb="18" eb="19">
      <t>トウ</t>
    </rPh>
    <rPh sb="20" eb="22">
      <t>メイボ</t>
    </rPh>
    <rPh sb="22" eb="24">
      <t>カンリ</t>
    </rPh>
    <rPh sb="25" eb="26">
      <t>オコナ</t>
    </rPh>
    <phoneticPr fontId="73"/>
  </si>
  <si>
    <t>成績表配信用のｴｸｾﾙ、ＨＰ用のｴｸｾﾙを作るソフトとのｲﾝﾀｰﾌｪｲｽを行うためのシート</t>
    <rPh sb="0" eb="2">
      <t>セイセキ</t>
    </rPh>
    <rPh sb="2" eb="3">
      <t>ヒョウ</t>
    </rPh>
    <rPh sb="3" eb="5">
      <t>ハイシン</t>
    </rPh>
    <rPh sb="5" eb="6">
      <t>ヨウ</t>
    </rPh>
    <rPh sb="14" eb="15">
      <t>ヨウ</t>
    </rPh>
    <rPh sb="21" eb="22">
      <t>ツク</t>
    </rPh>
    <rPh sb="37" eb="38">
      <t>オコナ</t>
    </rPh>
    <phoneticPr fontId="73"/>
  </si>
  <si>
    <t>下段：ｽｺｱ記入依頼用紙のｽｺｱ</t>
    <rPh sb="0" eb="2">
      <t>ゲダン</t>
    </rPh>
    <rPh sb="6" eb="8">
      <t>キニュウ</t>
    </rPh>
    <rPh sb="8" eb="10">
      <t>イライ</t>
    </rPh>
    <rPh sb="10" eb="12">
      <t>ヨウシ</t>
    </rPh>
    <phoneticPr fontId="11"/>
  </si>
  <si>
    <t>ｼｰﾄ④ｽｺｱ記入依頼用紙に書かれたｽｺｱ</t>
    <rPh sb="7" eb="9">
      <t>キニュウ</t>
    </rPh>
    <rPh sb="9" eb="11">
      <t>イライ</t>
    </rPh>
    <rPh sb="11" eb="13">
      <t>ヨウシ</t>
    </rPh>
    <rPh sb="14" eb="15">
      <t>カ</t>
    </rPh>
    <phoneticPr fontId="11"/>
  </si>
  <si>
    <t>上段：BX38:CA57の名前のｺﾋﾟｰ</t>
    <rPh sb="0" eb="2">
      <t>ジョウダン</t>
    </rPh>
    <rPh sb="13" eb="15">
      <t>ナマエ</t>
    </rPh>
    <phoneticPr fontId="11"/>
  </si>
  <si>
    <t>１：ｼｰﾄ①を使用</t>
    <rPh sb="7" eb="9">
      <t>シヨウ</t>
    </rPh>
    <phoneticPr fontId="11"/>
  </si>
  <si>
    <t>２：ｼｰﾄ②を使用</t>
    <rPh sb="7" eb="9">
      <t>シヨウ</t>
    </rPh>
    <phoneticPr fontId="11"/>
  </si>
  <si>
    <t>３：記入間違い、アラームを出す</t>
    <rPh sb="2" eb="4">
      <t>キニュウ</t>
    </rPh>
    <rPh sb="4" eb="6">
      <t>マチガ</t>
    </rPh>
    <rPh sb="13" eb="14">
      <t>ダ</t>
    </rPh>
    <phoneticPr fontId="11"/>
  </si>
  <si>
    <t>ｼｰﾄ①に書かれた名前、ｽｺｱ</t>
    <rPh sb="5" eb="6">
      <t>カ</t>
    </rPh>
    <rPh sb="9" eb="11">
      <t>ナマエ</t>
    </rPh>
    <phoneticPr fontId="11"/>
  </si>
  <si>
    <t>ｽｺｱ入力数：</t>
    <rPh sb="3" eb="5">
      <t>ニュウリョク</t>
    </rPh>
    <rPh sb="5" eb="6">
      <t>スウ</t>
    </rPh>
    <phoneticPr fontId="11"/>
  </si>
  <si>
    <t>ｼｰﾄ①の場合のｽｺｱ合計＝</t>
    <rPh sb="5" eb="7">
      <t>バアイ</t>
    </rPh>
    <rPh sb="11" eb="13">
      <t>ゴウケイ</t>
    </rPh>
    <phoneticPr fontId="11"/>
  </si>
  <si>
    <t>ｼｰﾄ④の場合のｽｺｱ合計＝</t>
    <rPh sb="5" eb="7">
      <t>バアイ</t>
    </rPh>
    <rPh sb="11" eb="13">
      <t>ゴウケイ</t>
    </rPh>
    <phoneticPr fontId="11"/>
  </si>
  <si>
    <t>参加人数＝</t>
    <rPh sb="0" eb="2">
      <t>サンカ</t>
    </rPh>
    <rPh sb="2" eb="4">
      <t>ニンズウ</t>
    </rPh>
    <phoneticPr fontId="1"/>
  </si>
  <si>
    <t>ｽｺｱ記入人数＝</t>
    <rPh sb="3" eb="5">
      <t>キニュウ</t>
    </rPh>
    <rPh sb="5" eb="7">
      <t>ニンズウ</t>
    </rPh>
    <phoneticPr fontId="1"/>
  </si>
  <si>
    <t>実開催回数＝</t>
    <rPh sb="0" eb="1">
      <t>ジツ</t>
    </rPh>
    <rPh sb="1" eb="3">
      <t>カイサイ</t>
    </rPh>
    <rPh sb="3" eb="5">
      <t>カイスウ</t>
    </rPh>
    <phoneticPr fontId="1"/>
  </si>
  <si>
    <t>年間成績</t>
    <rPh sb="0" eb="2">
      <t>ネンカン</t>
    </rPh>
    <rPh sb="2" eb="4">
      <t>セイセキ</t>
    </rPh>
    <phoneticPr fontId="1"/>
  </si>
  <si>
    <t>No</t>
    <phoneticPr fontId="1"/>
  </si>
  <si>
    <t>ID</t>
    <phoneticPr fontId="1"/>
  </si>
  <si>
    <t>イガラシ　シンタロウ</t>
  </si>
  <si>
    <t>イチキ　マサヒロ</t>
  </si>
  <si>
    <t>イトウ　マサアキ</t>
  </si>
  <si>
    <t>ウエダ　セイイチ</t>
  </si>
  <si>
    <t>オオシオ　タダシ</t>
  </si>
  <si>
    <t>オカモト　カオル</t>
  </si>
  <si>
    <t>オキツ　タダタカ</t>
  </si>
  <si>
    <t>オクハラ　ヒロシ</t>
  </si>
  <si>
    <t>オグラ　セツオ</t>
  </si>
  <si>
    <t>オノヤ マテツオ</t>
  </si>
  <si>
    <t>カサハラ　マサノブ</t>
  </si>
  <si>
    <t>カツタ　シゲオ</t>
  </si>
  <si>
    <t>カンザキ　リョウキチ</t>
  </si>
  <si>
    <t>カンバヤシ　カズオ</t>
  </si>
  <si>
    <t>ゴウマ　タケシ</t>
  </si>
  <si>
    <t>コバヤシ　シュウジ</t>
  </si>
  <si>
    <t>コンドウ　ヒロユキ</t>
  </si>
  <si>
    <t>サカモト　マコト</t>
  </si>
  <si>
    <t>サトウ　キヨヒト</t>
  </si>
  <si>
    <t>シオザキ　ヨシロウ</t>
  </si>
  <si>
    <t>スズキ　マサル</t>
  </si>
  <si>
    <t>タカギ　ヨシヒロ</t>
  </si>
  <si>
    <t>タナカ　コウスケ</t>
  </si>
  <si>
    <t>ツボハラ　ヨシノリ</t>
  </si>
  <si>
    <t>ナカガワ　エイジ</t>
  </si>
  <si>
    <t>ナカヤマ　マサミツ</t>
  </si>
  <si>
    <t>ハヤシ　ショウジ</t>
  </si>
  <si>
    <t>フクヤマ　マサタカ</t>
  </si>
  <si>
    <t>フジタ　マコト</t>
  </si>
  <si>
    <t>フルミ　マサトモ</t>
  </si>
  <si>
    <t>マメダ　ジュンイチ</t>
  </si>
  <si>
    <t>ミツイ　チヒロ</t>
  </si>
  <si>
    <t>ミナミムラ　エイジ　</t>
  </si>
  <si>
    <t>ムラカミ　アキノリ</t>
  </si>
  <si>
    <t>ヤマナカ　コウジ</t>
  </si>
  <si>
    <t>ユアサ　ヒサオ</t>
  </si>
  <si>
    <t>ヨコヤマ　ヒロシ</t>
  </si>
  <si>
    <t>ヨシザワ　タカシ</t>
  </si>
  <si>
    <t>ヨシダ　カズオ</t>
  </si>
  <si>
    <t>ワタナベ アキフミ</t>
  </si>
  <si>
    <t>-</t>
  </si>
  <si>
    <t>-</t>
    <phoneticPr fontId="1"/>
  </si>
  <si>
    <t>・内容自体を変更する際には「シートの保護」を解除して下さい（ﾊﾟｽﾜｰﾄﾞ無）。但し、他のシートの表は変更されません。</t>
    <rPh sb="1" eb="3">
      <t>ナイヨウ</t>
    </rPh>
    <rPh sb="3" eb="5">
      <t>ジタイ</t>
    </rPh>
    <rPh sb="6" eb="8">
      <t>ヘンコウ</t>
    </rPh>
    <rPh sb="10" eb="11">
      <t>サイ</t>
    </rPh>
    <rPh sb="18" eb="20">
      <t>ホゴ</t>
    </rPh>
    <rPh sb="22" eb="24">
      <t>カイジョ</t>
    </rPh>
    <rPh sb="26" eb="27">
      <t>クダ</t>
    </rPh>
    <rPh sb="37" eb="38">
      <t>ナシ</t>
    </rPh>
    <rPh sb="40" eb="41">
      <t>タダ</t>
    </rPh>
    <rPh sb="43" eb="44">
      <t>タ</t>
    </rPh>
    <rPh sb="49" eb="50">
      <t>ヒョウ</t>
    </rPh>
    <rPh sb="51" eb="53">
      <t>ヘンコウ</t>
    </rPh>
    <phoneticPr fontId="1"/>
  </si>
  <si>
    <t>←スコア記入欄</t>
    <rPh sb="4" eb="6">
      <t>キニュウ</t>
    </rPh>
    <rPh sb="6" eb="7">
      <t>ラン</t>
    </rPh>
    <phoneticPr fontId="1"/>
  </si>
  <si>
    <t>ｽｺｱ計＝</t>
    <rPh sb="3" eb="4">
      <t>ケイ</t>
    </rPh>
    <phoneticPr fontId="11"/>
  </si>
  <si>
    <t>アラーム表示判断：記入人数2人以下では非表示</t>
    <rPh sb="4" eb="6">
      <t>ヒョウジ</t>
    </rPh>
    <rPh sb="6" eb="8">
      <t>ハンダン</t>
    </rPh>
    <rPh sb="9" eb="11">
      <t>キニュウ</t>
    </rPh>
    <rPh sb="11" eb="13">
      <t>ニンズウ</t>
    </rPh>
    <rPh sb="14" eb="17">
      <t>ニンイカ</t>
    </rPh>
    <rPh sb="19" eb="22">
      <t>ヒヒョウジ</t>
    </rPh>
    <phoneticPr fontId="11"/>
  </si>
  <si>
    <t>スコアが記入されているシートをシート①とするかシート④とするかの判断</t>
    <rPh sb="4" eb="6">
      <t>キニュウ</t>
    </rPh>
    <rPh sb="32" eb="34">
      <t>ハンダン</t>
    </rPh>
    <phoneticPr fontId="11"/>
  </si>
  <si>
    <t>サドハラ　ヒロシ</t>
  </si>
  <si>
    <t>個々の変更は不要かも</t>
    <rPh sb="0" eb="2">
      <t>ココ</t>
    </rPh>
    <rPh sb="3" eb="5">
      <t>ヘンコウ</t>
    </rPh>
    <rPh sb="6" eb="8">
      <t>フヨウ</t>
    </rPh>
    <phoneticPr fontId="11"/>
  </si>
  <si>
    <t>Holdを中止</t>
    <rPh sb="5" eb="7">
      <t>チュウシ</t>
    </rPh>
    <phoneticPr fontId="11"/>
  </si>
  <si>
    <t>VLOOKUP参照先を変更</t>
    <rPh sb="7" eb="9">
      <t>サンショウ</t>
    </rPh>
    <rPh sb="9" eb="10">
      <t>サキ</t>
    </rPh>
    <rPh sb="11" eb="13">
      <t>ヘンコウ</t>
    </rPh>
    <phoneticPr fontId="11"/>
  </si>
  <si>
    <r>
      <t>(3) 成績の入力</t>
    </r>
    <r>
      <rPr>
        <sz val="6"/>
        <rFont val="ＭＳ Ｐゴシック"/>
        <family val="3"/>
        <charset val="128"/>
        <scheme val="minor"/>
      </rPr>
      <t>。ここでも組合せ変更可です</t>
    </r>
    <rPh sb="4" eb="6">
      <t>セイセキ</t>
    </rPh>
    <rPh sb="7" eb="9">
      <t>ニュウリョク</t>
    </rPh>
    <rPh sb="14" eb="16">
      <t>クミアワ</t>
    </rPh>
    <rPh sb="17" eb="19">
      <t>ヘンコウ</t>
    </rPh>
    <rPh sb="19" eb="20">
      <t>カ</t>
    </rPh>
    <phoneticPr fontId="11"/>
  </si>
  <si>
    <t>(6) 成績の入力。ここでも組合せ変更も可能</t>
    <rPh sb="4" eb="6">
      <t>セイセキ</t>
    </rPh>
    <rPh sb="7" eb="9">
      <t>ニュウリョク</t>
    </rPh>
    <rPh sb="14" eb="16">
      <t>クミアワ</t>
    </rPh>
    <rPh sb="17" eb="19">
      <t>ヘンコウ</t>
    </rPh>
    <rPh sb="20" eb="22">
      <t>カノウ</t>
    </rPh>
    <phoneticPr fontId="11"/>
  </si>
  <si>
    <t>成績記入ﾓｰﾄﾞ時に変更した場合：&lt;&gt;0</t>
    <rPh sb="0" eb="2">
      <t>セイセキ</t>
    </rPh>
    <rPh sb="2" eb="4">
      <t>キニュウ</t>
    </rPh>
    <rPh sb="8" eb="9">
      <t>ジ</t>
    </rPh>
    <rPh sb="10" eb="12">
      <t>ヘンコウ</t>
    </rPh>
    <rPh sb="14" eb="16">
      <t>バアイ</t>
    </rPh>
    <phoneticPr fontId="11"/>
  </si>
  <si>
    <t>変更がない場合：0</t>
    <rPh sb="0" eb="2">
      <t>ヘンコウ</t>
    </rPh>
    <rPh sb="5" eb="7">
      <t>バアイ</t>
    </rPh>
    <phoneticPr fontId="11"/>
  </si>
  <si>
    <t>組合せを表１から</t>
    <rPh sb="0" eb="2">
      <t>クミアワ</t>
    </rPh>
    <phoneticPr fontId="11"/>
  </si>
  <si>
    <t>↓HOLD：成績記入選択後の変更の有無検出用</t>
    <rPh sb="6" eb="8">
      <t>セイセキ</t>
    </rPh>
    <rPh sb="8" eb="10">
      <t>キニュウ</t>
    </rPh>
    <rPh sb="10" eb="12">
      <t>センタク</t>
    </rPh>
    <rPh sb="12" eb="13">
      <t>ゴ</t>
    </rPh>
    <rPh sb="14" eb="16">
      <t>ヘンコウ</t>
    </rPh>
    <rPh sb="17" eb="19">
      <t>ウム</t>
    </rPh>
    <rPh sb="19" eb="21">
      <t>ケンシュツ</t>
    </rPh>
    <rPh sb="21" eb="22">
      <t>ヨウ</t>
    </rPh>
    <phoneticPr fontId="11"/>
  </si>
  <si>
    <t>表10：表1の番号に対し年齢順を行う前は表8(BO)列、</t>
    <rPh sb="0" eb="1">
      <t>ヒョウ</t>
    </rPh>
    <rPh sb="4" eb="5">
      <t>ヒョウ</t>
    </rPh>
    <rPh sb="7" eb="9">
      <t>バンゴウ</t>
    </rPh>
    <rPh sb="10" eb="11">
      <t>タイ</t>
    </rPh>
    <rPh sb="12" eb="14">
      <t>ネンレイ</t>
    </rPh>
    <rPh sb="14" eb="15">
      <t>ジュン</t>
    </rPh>
    <rPh sb="16" eb="17">
      <t>オコナ</t>
    </rPh>
    <rPh sb="18" eb="19">
      <t>マエ</t>
    </rPh>
    <rPh sb="20" eb="21">
      <t>ヒョウ</t>
    </rPh>
    <rPh sb="26" eb="27">
      <t>レツ</t>
    </rPh>
    <phoneticPr fontId="11"/>
  </si>
  <si>
    <t>年齢順実行後は表8(BP)列でVLOOKUPし名前を抽出</t>
    <rPh sb="0" eb="2">
      <t>ネンレイ</t>
    </rPh>
    <rPh sb="2" eb="3">
      <t>ジュン</t>
    </rPh>
    <rPh sb="3" eb="5">
      <t>ジッコウ</t>
    </rPh>
    <rPh sb="5" eb="6">
      <t>ゴ</t>
    </rPh>
    <rPh sb="7" eb="8">
      <t>ヒョウ</t>
    </rPh>
    <rPh sb="13" eb="14">
      <t>レツ</t>
    </rPh>
    <rPh sb="23" eb="25">
      <t>ナマエ</t>
    </rPh>
    <rPh sb="26" eb="28">
      <t>チュウシュツ</t>
    </rPh>
    <phoneticPr fontId="11"/>
  </si>
  <si>
    <t>･成績を記入する際は「(３)成績記入」へ進んで下さい</t>
    <rPh sb="1" eb="3">
      <t>セイセキ</t>
    </rPh>
    <rPh sb="4" eb="6">
      <t>キニュウ</t>
    </rPh>
    <rPh sb="8" eb="9">
      <t>サイ</t>
    </rPh>
    <rPh sb="14" eb="16">
      <t>セイセキ</t>
    </rPh>
    <rPh sb="16" eb="18">
      <t>キニュウ</t>
    </rPh>
    <rPh sb="20" eb="21">
      <t>スス</t>
    </rPh>
    <rPh sb="23" eb="24">
      <t>クダ</t>
    </rPh>
    <phoneticPr fontId="11"/>
  </si>
  <si>
    <t>　　　五十音順に2段階で表示されます（順番は変化します）</t>
    <rPh sb="9" eb="11">
      <t>ダンカイ</t>
    </rPh>
    <rPh sb="12" eb="14">
      <t>ヒョウジ</t>
    </rPh>
    <rPh sb="19" eb="21">
      <t>ジュンバン</t>
    </rPh>
    <rPh sb="22" eb="24">
      <t>ヘンカ</t>
    </rPh>
    <phoneticPr fontId="11"/>
  </si>
  <si>
    <t>・(6)でも変更可能です</t>
    <rPh sb="6" eb="8">
      <t>ヘンコウ</t>
    </rPh>
    <rPh sb="8" eb="10">
      <t>カノウ</t>
    </rPh>
    <phoneticPr fontId="11"/>
  </si>
  <si>
    <t>　　･このままの組合せを維持する　⇒(6)へ</t>
    <rPh sb="8" eb="10">
      <t>クミアワ</t>
    </rPh>
    <rPh sb="12" eb="14">
      <t>イジ</t>
    </rPh>
    <phoneticPr fontId="11"/>
  </si>
  <si>
    <t>　　・入替、追加、ｷｬﾝｾﾙ等の調整を行う　⇒(4)へ</t>
    <rPh sb="3" eb="5">
      <t>イレカエ</t>
    </rPh>
    <rPh sb="6" eb="8">
      <t>ツイカ</t>
    </rPh>
    <rPh sb="14" eb="15">
      <t>トウ</t>
    </rPh>
    <rPh sb="16" eb="18">
      <t>チョウセイ</t>
    </rPh>
    <phoneticPr fontId="11"/>
  </si>
  <si>
    <t>･入替、追加等も名前入力と同じ要領で行ってください</t>
    <rPh sb="1" eb="3">
      <t>イレカエ</t>
    </rPh>
    <rPh sb="4" eb="6">
      <t>ツイカ</t>
    </rPh>
    <rPh sb="6" eb="7">
      <t>トウ</t>
    </rPh>
    <rPh sb="8" eb="10">
      <t>ナマエ</t>
    </rPh>
    <rPh sb="10" eb="12">
      <t>ニュウリョク</t>
    </rPh>
    <rPh sb="13" eb="14">
      <t>オナ</t>
    </rPh>
    <rPh sb="15" eb="17">
      <t>ヨウリョウ</t>
    </rPh>
    <phoneticPr fontId="11"/>
  </si>
  <si>
    <t>･変更内容はｼｰﾄ②-④へ反映されます。どこからでも(3)へ戻れます</t>
    <rPh sb="1" eb="3">
      <t>ヘンコウ</t>
    </rPh>
    <rPh sb="3" eb="5">
      <t>ナイヨウ</t>
    </rPh>
    <rPh sb="13" eb="15">
      <t>ハンエイ</t>
    </rPh>
    <rPh sb="30" eb="31">
      <t>モド</t>
    </rPh>
    <phoneticPr fontId="11"/>
  </si>
  <si>
    <t>(6)での変更の有無検出</t>
    <rPh sb="5" eb="7">
      <t>ヘンコウ</t>
    </rPh>
    <rPh sb="8" eb="10">
      <t>ウム</t>
    </rPh>
    <rPh sb="10" eb="12">
      <t>ケンシュツ</t>
    </rPh>
    <phoneticPr fontId="11"/>
  </si>
  <si>
    <t>・これで組合せ作成は完了です。(6)へ進んでスコア記入をお願いします</t>
  </si>
  <si>
    <t>･ゴルフ場からのﾌﾟﾚｾﾞﾝﾄ等最下段の枠に記入して下さい</t>
    <phoneticPr fontId="11"/>
  </si>
  <si>
    <t>・上書き保存して返送ください　　　◎幹事お疲れさまでした　(-_-)　</t>
    <rPh sb="1" eb="3">
      <t>ウワガ</t>
    </rPh>
    <rPh sb="4" eb="6">
      <t>ホゾン</t>
    </rPh>
    <rPh sb="8" eb="10">
      <t>ヘンソウ</t>
    </rPh>
    <rPh sb="18" eb="20">
      <t>カンジ</t>
    </rPh>
    <rPh sb="21" eb="22">
      <t>ツカ</t>
    </rPh>
    <phoneticPr fontId="11"/>
  </si>
  <si>
    <r>
      <t>･空欄はﾘｽﾄの最上段にあります。（　－－）で表示。</t>
    </r>
    <r>
      <rPr>
        <sz val="10"/>
        <color rgb="FF000000"/>
        <rFont val="Calibri"/>
        <family val="2"/>
      </rPr>
      <t xml:space="preserve">  </t>
    </r>
    <rPh sb="9" eb="10">
      <t>ウエ</t>
    </rPh>
    <phoneticPr fontId="11"/>
  </si>
  <si>
    <t>・この組合せで良ければPDで(3)へ進んで下さい</t>
    <rPh sb="3" eb="5">
      <t>クミアワ</t>
    </rPh>
    <rPh sb="7" eb="8">
      <t>ヨ</t>
    </rPh>
    <rPh sb="18" eb="19">
      <t>スス</t>
    </rPh>
    <rPh sb="21" eb="22">
      <t>クダ</t>
    </rPh>
    <phoneticPr fontId="11"/>
  </si>
  <si>
    <t>(1) 組合せ入力</t>
    <phoneticPr fontId="11"/>
  </si>
  <si>
    <t>・組合せ等変更する場合は(1)へ戻って下さい</t>
    <rPh sb="1" eb="3">
      <t>クミアワ</t>
    </rPh>
    <rPh sb="4" eb="5">
      <t>トウ</t>
    </rPh>
    <rPh sb="5" eb="7">
      <t>ヘンコウ</t>
    </rPh>
    <rPh sb="9" eb="11">
      <t>バアイ</t>
    </rPh>
    <rPh sb="16" eb="17">
      <t>モド</t>
    </rPh>
    <rPh sb="19" eb="20">
      <t>クダ</t>
    </rPh>
    <phoneticPr fontId="11"/>
  </si>
  <si>
    <t>・急な組合せ変更もここで可能です。ｼｰﾄ②～④は年齢順で表示されます。</t>
    <phoneticPr fontId="11"/>
  </si>
  <si>
    <t>･ゴルフ場からのﾌﾟﾚｾﾞﾝﾄ等最下段の枠に記入して下さい</t>
    <phoneticPr fontId="11"/>
  </si>
  <si>
    <t>・上書き保存して返送ください　　　◎幹事お疲れさまでした　(-_-)　</t>
    <phoneticPr fontId="11"/>
  </si>
  <si>
    <t xml:space="preserve">･「ｷｬﾝｾﾙ」はﾌﾟﾙﾀﾞｳﾝﾒﾆｭｰの「　－－」(最上段)を使ってください </t>
    <rPh sb="27" eb="29">
      <t>サイジョウ</t>
    </rPh>
    <rPh sb="29" eb="30">
      <t>ダン</t>
    </rPh>
    <phoneticPr fontId="11"/>
  </si>
  <si>
    <t>・（4）へ戻せば整備前に戻ります</t>
  </si>
  <si>
    <t>・空欄はｼｰﾄ②～④で右寄せされています。</t>
    <rPh sb="1" eb="3">
      <t>クウラン</t>
    </rPh>
    <phoneticPr fontId="11"/>
  </si>
  <si>
    <t>･「(1)組合せ入力」に戻せば入力時の並び順に戻ります</t>
  </si>
  <si>
    <t>・ｼｰﾄ②以降で空欄を右端に移動しています</t>
    <phoneticPr fontId="11"/>
  </si>
  <si>
    <t>　</t>
    <phoneticPr fontId="11"/>
  </si>
  <si>
    <t>・当日の成績は「シート①の組合せ表」、又は下記の「ｽｺｱ記入依頼用紙」に記入して下さい（どちらか一方のみ）</t>
    <rPh sb="1" eb="3">
      <t>トウジツ</t>
    </rPh>
    <rPh sb="4" eb="6">
      <t>セイセキ</t>
    </rPh>
    <rPh sb="13" eb="15">
      <t>クミアワ</t>
    </rPh>
    <rPh sb="16" eb="17">
      <t>ヒョウ</t>
    </rPh>
    <rPh sb="19" eb="20">
      <t>マタ</t>
    </rPh>
    <rPh sb="21" eb="23">
      <t>カキ</t>
    </rPh>
    <rPh sb="28" eb="30">
      <t>キニュウ</t>
    </rPh>
    <rPh sb="30" eb="32">
      <t>イライ</t>
    </rPh>
    <rPh sb="32" eb="34">
      <t>ヨウシ</t>
    </rPh>
    <rPh sb="36" eb="38">
      <t>キニュウ</t>
    </rPh>
    <rPh sb="40" eb="41">
      <t>クダ</t>
    </rPh>
    <rPh sb="48" eb="50">
      <t>イッポウ</t>
    </rPh>
    <phoneticPr fontId="1"/>
  </si>
  <si>
    <t>シート④は成績を記入してもらうシートであり、更にこの表かシート①に成績全体を記入可能。</t>
    <rPh sb="5" eb="7">
      <t>セイセキ</t>
    </rPh>
    <rPh sb="8" eb="10">
      <t>キニュウ</t>
    </rPh>
    <rPh sb="22" eb="23">
      <t>サラ</t>
    </rPh>
    <rPh sb="26" eb="27">
      <t>ヒョウ</t>
    </rPh>
    <rPh sb="33" eb="35">
      <t>セイセキ</t>
    </rPh>
    <rPh sb="35" eb="37">
      <t>ゼンタイ</t>
    </rPh>
    <rPh sb="38" eb="40">
      <t>キニュウ</t>
    </rPh>
    <rPh sb="40" eb="42">
      <t>カノウ</t>
    </rPh>
    <phoneticPr fontId="1"/>
  </si>
  <si>
    <t>シート①又はシート④に記入された成績をシート⑤の開催回数に対応した列に記入する。</t>
    <rPh sb="4" eb="5">
      <t>マタ</t>
    </rPh>
    <rPh sb="11" eb="13">
      <t>キニュウ</t>
    </rPh>
    <rPh sb="16" eb="18">
      <t>セイセキ</t>
    </rPh>
    <rPh sb="24" eb="26">
      <t>カイサイ</t>
    </rPh>
    <rPh sb="26" eb="28">
      <t>カイスウ</t>
    </rPh>
    <rPh sb="29" eb="31">
      <t>タイオウ</t>
    </rPh>
    <rPh sb="33" eb="34">
      <t>レツ</t>
    </rPh>
    <rPh sb="35" eb="37">
      <t>キニュウ</t>
    </rPh>
    <phoneticPr fontId="73"/>
  </si>
  <si>
    <t>成績表のｽｺｱｺﾋﾟｰ</t>
    <rPh sb="0" eb="2">
      <t>セイセキ</t>
    </rPh>
    <rPh sb="2" eb="3">
      <t>ヒョウ</t>
    </rPh>
    <phoneticPr fontId="11"/>
  </si>
  <si>
    <t>Interfaceへ</t>
    <phoneticPr fontId="11"/>
  </si>
  <si>
    <t>成績表ｽｺｱ計=</t>
    <rPh sb="0" eb="2">
      <t>セイセキ</t>
    </rPh>
    <rPh sb="2" eb="3">
      <t>ヒョウ</t>
    </rPh>
    <rPh sb="6" eb="7">
      <t>ケイ</t>
    </rPh>
    <phoneticPr fontId="11"/>
  </si>
  <si>
    <t>５：未記入</t>
    <rPh sb="2" eb="5">
      <t>ミキニュウ</t>
    </rPh>
    <phoneticPr fontId="11"/>
  </si>
  <si>
    <t>シート①④を成績表順に</t>
    <rPh sb="6" eb="8">
      <t>セイセキ</t>
    </rPh>
    <rPh sb="8" eb="9">
      <t>ヒョウ</t>
    </rPh>
    <rPh sb="9" eb="10">
      <t>ジュン</t>
    </rPh>
    <phoneticPr fontId="11"/>
  </si>
  <si>
    <t>ｽｺｱ計が(50以上)AND(他が０)で確定させる。全て０は未記入判断</t>
    <rPh sb="3" eb="4">
      <t>ケイ</t>
    </rPh>
    <rPh sb="8" eb="10">
      <t>イジョウ</t>
    </rPh>
    <rPh sb="15" eb="16">
      <t>ホカ</t>
    </rPh>
    <rPh sb="20" eb="22">
      <t>カクテイ</t>
    </rPh>
    <rPh sb="26" eb="27">
      <t>スベ</t>
    </rPh>
    <rPh sb="30" eb="33">
      <t>ミキニュウ</t>
    </rPh>
    <rPh sb="33" eb="35">
      <t>ハンダン</t>
    </rPh>
    <phoneticPr fontId="11"/>
  </si>
  <si>
    <t>回</t>
    <rPh sb="0" eb="1">
      <t>カイ</t>
    </rPh>
    <phoneticPr fontId="1"/>
  </si>
  <si>
    <t>開催回数：</t>
    <rPh sb="0" eb="2">
      <t>カイサイ</t>
    </rPh>
    <rPh sb="2" eb="4">
      <t>カイスウ</t>
    </rPh>
    <phoneticPr fontId="1"/>
  </si>
  <si>
    <t>成績表のスコア合計＝</t>
    <rPh sb="0" eb="2">
      <t>セイセキ</t>
    </rPh>
    <rPh sb="2" eb="3">
      <t>ヒョウ</t>
    </rPh>
    <rPh sb="7" eb="9">
      <t>ゴウケイ</t>
    </rPh>
    <phoneticPr fontId="11"/>
  </si>
  <si>
    <t>←この数値がinterfaceの開催回数として認識される</t>
    <rPh sb="3" eb="5">
      <t>スウチ</t>
    </rPh>
    <rPh sb="16" eb="18">
      <t>カイサイ</t>
    </rPh>
    <rPh sb="18" eb="20">
      <t>カイスウ</t>
    </rPh>
    <rPh sb="23" eb="25">
      <t>ニンシキ</t>
    </rPh>
    <phoneticPr fontId="11"/>
  </si>
  <si>
    <t>４：ｼｰﾄ⑤成績表を使用</t>
    <rPh sb="6" eb="8">
      <t>セイセキ</t>
    </rPh>
    <rPh sb="8" eb="9">
      <t>ヒョウ</t>
    </rPh>
    <rPh sb="10" eb="12">
      <t>シヨウ</t>
    </rPh>
    <phoneticPr fontId="11"/>
  </si>
  <si>
    <t>･年齢順等、並べ方を整理するにはPD(ﾌﾟﾙﾀﾞｳﾝ)で(2)へ進んで下さい</t>
    <rPh sb="1" eb="3">
      <t>ネンレイ</t>
    </rPh>
    <rPh sb="3" eb="4">
      <t>ジュン</t>
    </rPh>
    <rPh sb="4" eb="5">
      <t>トウ</t>
    </rPh>
    <rPh sb="6" eb="7">
      <t>ナラ</t>
    </rPh>
    <rPh sb="8" eb="9">
      <t>カタ</t>
    </rPh>
    <rPh sb="10" eb="12">
      <t>セイリ</t>
    </rPh>
    <rPh sb="32" eb="33">
      <t>スス</t>
    </rPh>
    <rPh sb="35" eb="36">
      <t>クダ</t>
    </rPh>
    <phoneticPr fontId="11"/>
  </si>
  <si>
    <t>(2) 入力後ﾗﾝﾀﾞﾑな組合せを生成します。　【ここではﾒﾝﾊﾞｰの変更をしないでください】</t>
    <rPh sb="4" eb="7">
      <t>ニュウリョクゴ</t>
    </rPh>
    <rPh sb="12" eb="16">
      <t>クミアワセヲ</t>
    </rPh>
    <rPh sb="16" eb="19">
      <t>セイセイシ</t>
    </rPh>
    <rPh sb="35" eb="37">
      <t>ヘンコウ</t>
    </rPh>
    <phoneticPr fontId="11"/>
  </si>
  <si>
    <t>・ﾗﾝﾀﾞﾑな組合せを生成しました</t>
    <rPh sb="6" eb="10">
      <t>クミアワセヲ</t>
    </rPh>
    <rPh sb="10" eb="16">
      <t>セイセイシマシタ</t>
    </rPh>
    <phoneticPr fontId="11"/>
  </si>
  <si>
    <t>･「(2)ﾗﾝﾀﾞﾑ」→「(1)組合せ入力」→「(2)ﾗﾝﾀﾞﾑ」を繰り返すたびに</t>
    <rPh sb="16" eb="18">
      <t>クミアワ</t>
    </rPh>
    <rPh sb="19" eb="21">
      <t>ニュウリョク</t>
    </rPh>
    <rPh sb="34" eb="35">
      <t>ク</t>
    </rPh>
    <rPh sb="36" eb="37">
      <t>カエ</t>
    </rPh>
    <phoneticPr fontId="11"/>
  </si>
  <si>
    <r>
      <t>･「</t>
    </r>
    <r>
      <rPr>
        <sz val="10"/>
        <color rgb="FF000000"/>
        <rFont val="Calibri"/>
        <family val="2"/>
      </rPr>
      <t>(1)</t>
    </r>
    <r>
      <rPr>
        <sz val="10"/>
        <color rgb="FF000000"/>
        <rFont val="ＭＳ Ｐゴシック"/>
        <family val="3"/>
        <charset val="128"/>
      </rPr>
      <t>組合せ入力」に戻せばﾗﾝﾀﾞﾑ化前に戻ります</t>
    </r>
    <r>
      <rPr>
        <sz val="10"/>
        <color rgb="FF000000"/>
        <rFont val="Calibri"/>
        <family val="2"/>
      </rPr>
      <t xml:space="preserve">  </t>
    </r>
    <rPh sb="5" eb="7">
      <t>クミアワ</t>
    </rPh>
    <rPh sb="8" eb="10">
      <t>ニュウリョク</t>
    </rPh>
    <rPh sb="12" eb="13">
      <t>モド</t>
    </rPh>
    <rPh sb="20" eb="21">
      <t>カ</t>
    </rPh>
    <phoneticPr fontId="11"/>
  </si>
  <si>
    <r>
      <t>･</t>
    </r>
    <r>
      <rPr>
        <sz val="10"/>
        <rFont val="ＭＳ Ｐゴシック"/>
        <family val="3"/>
        <charset val="128"/>
        <scheme val="minor"/>
      </rPr>
      <t>ﾗﾝﾀﾞﾑ化が終了したら「(3)保存」へ進んで下さい【MUST】</t>
    </r>
    <rPh sb="6" eb="7">
      <t>カ</t>
    </rPh>
    <rPh sb="8" eb="10">
      <t>シュウリョウ</t>
    </rPh>
    <rPh sb="17" eb="19">
      <t>ホゾン</t>
    </rPh>
    <rPh sb="21" eb="22">
      <t>スス</t>
    </rPh>
    <rPh sb="24" eb="25">
      <t>クダ</t>
    </rPh>
    <phoneticPr fontId="11"/>
  </si>
  <si>
    <t>フル機能---標準機能＋ランダムな組合せ生成が可能</t>
    <rPh sb="2" eb="4">
      <t>キノウ</t>
    </rPh>
    <rPh sb="7" eb="9">
      <t>ヒョウジュン</t>
    </rPh>
    <rPh sb="9" eb="11">
      <t>キノウ</t>
    </rPh>
    <rPh sb="17" eb="19">
      <t>クミアワ</t>
    </rPh>
    <rPh sb="20" eb="22">
      <t>セイセイ</t>
    </rPh>
    <rPh sb="23" eb="25">
      <t>カノウ</t>
    </rPh>
    <phoneticPr fontId="11"/>
  </si>
  <si>
    <t>・参考までに最近の成績が表示されます。右横のﾒﾆｭｰで非標示に出来ます（成績記入時は消えます）</t>
    <rPh sb="19" eb="20">
      <t>ミギ</t>
    </rPh>
    <rPh sb="20" eb="21">
      <t>ヨコ</t>
    </rPh>
    <rPh sb="27" eb="30">
      <t>ヒヒョウジ</t>
    </rPh>
    <rPh sb="31" eb="33">
      <t>デキ</t>
    </rPh>
    <rPh sb="36" eb="38">
      <t>セイセキ</t>
    </rPh>
    <rPh sb="38" eb="40">
      <t>キニュウ</t>
    </rPh>
    <rPh sb="40" eb="41">
      <t>ジ</t>
    </rPh>
    <rPh sb="42" eb="43">
      <t>キ</t>
    </rPh>
    <phoneticPr fontId="11"/>
  </si>
  <si>
    <t>･開催回数、日時等（必ず記入して下さい）</t>
    <rPh sb="1" eb="3">
      <t>カイサイ</t>
    </rPh>
    <rPh sb="3" eb="5">
      <t>カイスウ</t>
    </rPh>
    <rPh sb="6" eb="9">
      <t>ニチジトウ</t>
    </rPh>
    <rPh sb="10" eb="11">
      <t>カナラ</t>
    </rPh>
    <rPh sb="12" eb="14">
      <t>キニュウ</t>
    </rPh>
    <rPh sb="16" eb="17">
      <t>クダ</t>
    </rPh>
    <phoneticPr fontId="11"/>
  </si>
  <si>
    <t>組合せ表、ﾌﾙﾈｰﾑ組合せ表、成績記入用紙が生成されます。</t>
    <rPh sb="0" eb="2">
      <t>クミアワ</t>
    </rPh>
    <rPh sb="3" eb="4">
      <t>ヒョウ</t>
    </rPh>
    <rPh sb="10" eb="12">
      <t>クミアワ</t>
    </rPh>
    <rPh sb="13" eb="14">
      <t>ヒョウ</t>
    </rPh>
    <rPh sb="15" eb="17">
      <t>セイセキ</t>
    </rPh>
    <rPh sb="17" eb="19">
      <t>キニュウ</t>
    </rPh>
    <rPh sb="19" eb="21">
      <t>ヨウシ</t>
    </rPh>
    <phoneticPr fontId="1"/>
  </si>
  <si>
    <t>･組合せ入力表 &amp; 成績記入表</t>
    <rPh sb="1" eb="3">
      <t>クミアワ</t>
    </rPh>
    <rPh sb="4" eb="6">
      <t>ニュウリョク</t>
    </rPh>
    <rPh sb="6" eb="7">
      <t>ヒョウ</t>
    </rPh>
    <rPh sb="10" eb="12">
      <t>セイセキ</t>
    </rPh>
    <rPh sb="12" eb="14">
      <t>キニュウ</t>
    </rPh>
    <rPh sb="14" eb="15">
      <t>ヒョウ</t>
    </rPh>
    <phoneticPr fontId="11"/>
  </si>
  <si>
    <t>・成績をｼｰﾄ④又は⑤,に記入してもＯＫです。（どれか1つ）。</t>
  </si>
  <si>
    <t>・成績をｼｰﾄ④又は⑤,に記入してもＯＫです。（どれか1つ）。</t>
    <rPh sb="8" eb="9">
      <t>マタ</t>
    </rPh>
    <phoneticPr fontId="11"/>
  </si>
  <si>
    <t>　　・このままの組合せで組内を年齢順に並び替える　⇒(5) へ</t>
    <rPh sb="8" eb="10">
      <t>クミアワ</t>
    </rPh>
    <rPh sb="12" eb="13">
      <t>クミ</t>
    </rPh>
    <rPh sb="13" eb="14">
      <t>ナイ</t>
    </rPh>
    <rPh sb="15" eb="17">
      <t>ネンレイ</t>
    </rPh>
    <rPh sb="17" eb="18">
      <t>ジュン</t>
    </rPh>
    <rPh sb="19" eb="20">
      <t>ナラ</t>
    </rPh>
    <rPh sb="21" eb="22">
      <t>カ</t>
    </rPh>
    <phoneticPr fontId="11"/>
  </si>
  <si>
    <t>・現在の組合せを保存しました。この組合せを元に変更が出来ます。</t>
    <rPh sb="1" eb="3">
      <t>ゲンザイ</t>
    </rPh>
    <rPh sb="4" eb="6">
      <t>クミアワ</t>
    </rPh>
    <rPh sb="8" eb="10">
      <t>ホゾン</t>
    </rPh>
    <rPh sb="17" eb="19">
      <t>クミアワ</t>
    </rPh>
    <rPh sb="21" eb="22">
      <t>モト</t>
    </rPh>
    <rPh sb="23" eb="25">
      <t>ヘンコウ</t>
    </rPh>
    <rPh sb="26" eb="28">
      <t>デキ</t>
    </rPh>
    <phoneticPr fontId="11"/>
  </si>
  <si>
    <t>･変更が終了したら組内の並び順を年齢順にするかを選択して</t>
    <rPh sb="1" eb="3">
      <t>ヘンコウ</t>
    </rPh>
    <rPh sb="4" eb="6">
      <t>シュウリョウ</t>
    </rPh>
    <rPh sb="9" eb="10">
      <t>クミ</t>
    </rPh>
    <rPh sb="10" eb="11">
      <t>ナイ</t>
    </rPh>
    <rPh sb="12" eb="13">
      <t>ナラ</t>
    </rPh>
    <rPh sb="14" eb="15">
      <t>ジュン</t>
    </rPh>
    <rPh sb="16" eb="18">
      <t>ネンレイ</t>
    </rPh>
    <rPh sb="18" eb="19">
      <t>ジュン</t>
    </rPh>
    <phoneticPr fontId="11"/>
  </si>
  <si>
    <t>　[年齢順にすると　･左から年齢順　･幹事を右端　･空欄を右端（ｼｰﾄ②以降）]</t>
    <rPh sb="2" eb="4">
      <t>ネンレイ</t>
    </rPh>
    <rPh sb="4" eb="5">
      <t>ジュン</t>
    </rPh>
    <rPh sb="14" eb="16">
      <t>ネンレイ</t>
    </rPh>
    <rPh sb="36" eb="38">
      <t>イコウ</t>
    </rPh>
    <phoneticPr fontId="11"/>
  </si>
  <si>
    <t>･組内を左から年齢順に、幹事を右端に並べ替えました。</t>
    <rPh sb="7" eb="9">
      <t>ネンレイ</t>
    </rPh>
    <phoneticPr fontId="11"/>
  </si>
  <si>
    <t>･組内を左から年齢順に、幹事を右端に並べ替えました。</t>
    <rPh sb="7" eb="9">
      <t>ネンレイ</t>
    </rPh>
    <rPh sb="12" eb="14">
      <t>カンジ</t>
    </rPh>
    <rPh sb="15" eb="17">
      <t>ミギハシ</t>
    </rPh>
    <phoneticPr fontId="11"/>
  </si>
  <si>
    <t>･(3)で保存した組合せの変更が出来ます。</t>
    <rPh sb="5" eb="7">
      <t>ホゾン</t>
    </rPh>
    <rPh sb="9" eb="11">
      <t>クミアワ</t>
    </rPh>
    <rPh sb="13" eb="15">
      <t>ヘンコウ</t>
    </rPh>
    <rPh sb="16" eb="18">
      <t>デキ</t>
    </rPh>
    <phoneticPr fontId="11"/>
  </si>
  <si>
    <t>　下さい。･年齢順にする⇒(5)へ(推奨)  ･このままにする⇒(6)へ</t>
    <rPh sb="1" eb="2">
      <t>クダ</t>
    </rPh>
    <rPh sb="6" eb="8">
      <t>ネンレイ</t>
    </rPh>
    <rPh sb="8" eb="9">
      <t>ジュン</t>
    </rPh>
    <phoneticPr fontId="11"/>
  </si>
  <si>
    <t>･成績を名前下のセル（薄橙色）に記入して下さい。（欠席者は成績欄を空欄に）</t>
    <rPh sb="11" eb="12">
      <t>ウス</t>
    </rPh>
    <rPh sb="12" eb="13">
      <t>ダイダイ</t>
    </rPh>
    <rPh sb="13" eb="14">
      <t>イロ</t>
    </rPh>
    <phoneticPr fontId="11"/>
  </si>
  <si>
    <t>･成績を名前下のセル(薄橙色）に記入して下さい。（欠席者は成績欄を空欄に）</t>
    <rPh sb="11" eb="12">
      <t>ウス</t>
    </rPh>
    <rPh sb="12" eb="13">
      <t>ダイダイ</t>
    </rPh>
    <rPh sb="13" eb="14">
      <t>イロ</t>
    </rPh>
    <phoneticPr fontId="11"/>
  </si>
  <si>
    <t>･この組合せを元にﾗﾝﾀﾞﾑな組合せを作るにはPD(ﾌﾟﾙﾀﾞｳﾝ)で(2)へ、</t>
    <rPh sb="3" eb="5">
      <t>クミアワ</t>
    </rPh>
    <rPh sb="7" eb="8">
      <t>モト</t>
    </rPh>
    <rPh sb="15" eb="17">
      <t>クミアワ</t>
    </rPh>
    <rPh sb="19" eb="20">
      <t>ツク</t>
    </rPh>
    <phoneticPr fontId="11"/>
  </si>
  <si>
    <t>　ﾗﾝﾀﾞﾑ化をしない場合は｢(3)保存」へ進んで下さい</t>
    <rPh sb="6" eb="7">
      <t>カ</t>
    </rPh>
    <rPh sb="11" eb="13">
      <t>バアイ</t>
    </rPh>
    <rPh sb="18" eb="20">
      <t>ホゾン</t>
    </rPh>
    <rPh sb="22" eb="23">
      <t>スス</t>
    </rPh>
    <rPh sb="25" eb="26">
      <t>クダ</t>
    </rPh>
    <phoneticPr fontId="11"/>
  </si>
  <si>
    <t>･組合せ入力表等を使わず、成績のみを記入する場合はｼｰﾄ⑤成績表に直接記入して下さい。</t>
    <rPh sb="1" eb="3">
      <t>クミアワ</t>
    </rPh>
    <rPh sb="4" eb="6">
      <t>ニュウリョク</t>
    </rPh>
    <rPh sb="6" eb="7">
      <t>ヒョウ</t>
    </rPh>
    <rPh sb="7" eb="8">
      <t>トウ</t>
    </rPh>
    <rPh sb="9" eb="10">
      <t>ツカ</t>
    </rPh>
    <rPh sb="13" eb="15">
      <t>セイセキ</t>
    </rPh>
    <rPh sb="18" eb="20">
      <t>キニュウ</t>
    </rPh>
    <rPh sb="22" eb="24">
      <t>バアイ</t>
    </rPh>
    <rPh sb="29" eb="31">
      <t>セイセキ</t>
    </rPh>
    <rPh sb="31" eb="32">
      <t>ヒョウ</t>
    </rPh>
    <rPh sb="33" eb="35">
      <t>チョクセツ</t>
    </rPh>
    <rPh sb="35" eb="37">
      <t>キニュウ</t>
    </rPh>
    <rPh sb="39" eb="40">
      <t>クダ</t>
    </rPh>
    <phoneticPr fontId="1"/>
  </si>
  <si>
    <t>・出欠表：出欠の確認に利用下さい。使用しなくとも組合せ、成績記入は可能です。</t>
    <rPh sb="1" eb="3">
      <t>シュッケツ</t>
    </rPh>
    <rPh sb="3" eb="4">
      <t>ヒョウ</t>
    </rPh>
    <rPh sb="5" eb="7">
      <t>シュッケツ</t>
    </rPh>
    <rPh sb="8" eb="10">
      <t>カクニン</t>
    </rPh>
    <rPh sb="11" eb="14">
      <t>リヨウクダ</t>
    </rPh>
    <rPh sb="17" eb="19">
      <t>シヨウ</t>
    </rPh>
    <rPh sb="24" eb="26">
      <t>クミアワ</t>
    </rPh>
    <rPh sb="28" eb="30">
      <t>セイセキ</t>
    </rPh>
    <rPh sb="30" eb="32">
      <t>キニュウ</t>
    </rPh>
    <rPh sb="33" eb="35">
      <t>カノウ</t>
    </rPh>
    <phoneticPr fontId="11"/>
  </si>
  <si>
    <t>成績表（ｽｺｱ記入用）</t>
    <rPh sb="7" eb="10">
      <t>キニュウヨウ</t>
    </rPh>
    <phoneticPr fontId="1"/>
  </si>
  <si>
    <t>名前欄空白でｽｺｱ有りをカウントしない⇒</t>
    <rPh sb="0" eb="2">
      <t>ナマエ</t>
    </rPh>
    <rPh sb="2" eb="3">
      <t>ラン</t>
    </rPh>
    <rPh sb="3" eb="5">
      <t>クウハク</t>
    </rPh>
    <rPh sb="9" eb="10">
      <t>ア</t>
    </rPh>
    <phoneticPr fontId="11"/>
  </si>
  <si>
    <t>名前欄空白でｽｺｱ有りをカウントする⇒</t>
    <rPh sb="0" eb="2">
      <t>ナマエ</t>
    </rPh>
    <rPh sb="2" eb="3">
      <t>ラン</t>
    </rPh>
    <rPh sb="3" eb="5">
      <t>クウハク</t>
    </rPh>
    <rPh sb="9" eb="10">
      <t>ア</t>
    </rPh>
    <phoneticPr fontId="11"/>
  </si>
  <si>
    <t>スコアはこの表に記入するか、「シート①入力画面」又は</t>
    <rPh sb="6" eb="7">
      <t>ヒョウ</t>
    </rPh>
    <rPh sb="8" eb="10">
      <t>キニュウ</t>
    </rPh>
    <rPh sb="19" eb="21">
      <t>ニュウリョク</t>
    </rPh>
    <rPh sb="21" eb="23">
      <t>ガメン</t>
    </rPh>
    <rPh sb="24" eb="25">
      <t>マタ</t>
    </rPh>
    <phoneticPr fontId="1"/>
  </si>
  <si>
    <t>「シート⑤成績表」に記入できます。</t>
    <rPh sb="5" eb="7">
      <t>セイセキ</t>
    </rPh>
    <rPh sb="7" eb="8">
      <t>ヒョウ</t>
    </rPh>
    <rPh sb="10" eb="12">
      <t>キニュウ</t>
    </rPh>
    <phoneticPr fontId="1"/>
  </si>
  <si>
    <t>但し、いずれか一つのみを使って下さい。</t>
    <rPh sb="0" eb="1">
      <t>タダ</t>
    </rPh>
    <rPh sb="7" eb="8">
      <t>ヒト</t>
    </rPh>
    <rPh sb="12" eb="13">
      <t>ツカ</t>
    </rPh>
    <rPh sb="15" eb="16">
      <t>クダ</t>
    </rPh>
    <phoneticPr fontId="1"/>
  </si>
  <si>
    <t>本エクセルは循環関数を使用して</t>
    <rPh sb="0" eb="1">
      <t>ホン</t>
    </rPh>
    <rPh sb="6" eb="8">
      <t>ジュンカン</t>
    </rPh>
    <rPh sb="8" eb="10">
      <t>カンスウ</t>
    </rPh>
    <rPh sb="11" eb="13">
      <t>シヨウ</t>
    </rPh>
    <phoneticPr fontId="11"/>
  </si>
  <si>
    <t>います。</t>
    <phoneticPr fontId="11"/>
  </si>
  <si>
    <t>途中で「ほ</t>
    <rPh sb="0" eb="2">
      <t>トチュウ</t>
    </rPh>
    <phoneticPr fontId="11"/>
  </si>
  <si>
    <t>簡単な設定で「循環参照に関する警告」を消し、使用できるようになります。</t>
    <rPh sb="0" eb="2">
      <t>カンタン</t>
    </rPh>
    <rPh sb="3" eb="5">
      <t>セッテイ</t>
    </rPh>
    <rPh sb="7" eb="9">
      <t>ジュンカン</t>
    </rPh>
    <rPh sb="9" eb="11">
      <t>サンショウ</t>
    </rPh>
    <rPh sb="12" eb="13">
      <t>カン</t>
    </rPh>
    <rPh sb="15" eb="17">
      <t>ケイコク</t>
    </rPh>
    <rPh sb="19" eb="20">
      <t>ケ</t>
    </rPh>
    <rPh sb="22" eb="24">
      <t>シヨウ</t>
    </rPh>
    <phoneticPr fontId="1"/>
  </si>
  <si>
    <t>尚、本設定変更によるセキュリティへの影響は一切なく、また通常のエクセル使用にも</t>
    <rPh sb="0" eb="1">
      <t>ナオ</t>
    </rPh>
    <rPh sb="2" eb="3">
      <t>ホン</t>
    </rPh>
    <rPh sb="3" eb="5">
      <t>セッテイ</t>
    </rPh>
    <rPh sb="5" eb="7">
      <t>ヘンコウ</t>
    </rPh>
    <rPh sb="18" eb="20">
      <t>エイキョウ</t>
    </rPh>
    <rPh sb="21" eb="23">
      <t>イッサイ</t>
    </rPh>
    <rPh sb="28" eb="30">
      <t>ツウジョウ</t>
    </rPh>
    <rPh sb="35" eb="37">
      <t>シヨウ</t>
    </rPh>
    <phoneticPr fontId="1"/>
  </si>
  <si>
    <t>障害はありません。</t>
    <rPh sb="0" eb="2">
      <t>ショウガイ</t>
    </rPh>
    <phoneticPr fontId="1"/>
  </si>
  <si>
    <t>このマークを左クリック</t>
    <rPh sb="6" eb="7">
      <t>ヒダリ</t>
    </rPh>
    <phoneticPr fontId="1"/>
  </si>
  <si>
    <t>すると下図の表が</t>
    <rPh sb="3" eb="5">
      <t>カズ</t>
    </rPh>
    <rPh sb="6" eb="7">
      <t>ヒョウ</t>
    </rPh>
    <phoneticPr fontId="1"/>
  </si>
  <si>
    <t>表示されます。</t>
    <rPh sb="0" eb="2">
      <t>ヒョウジ</t>
    </rPh>
    <phoneticPr fontId="1"/>
  </si>
  <si>
    <t>最下段のExcelｵﾌﾟｼｮﾝ</t>
    <rPh sb="0" eb="2">
      <t>サイカ</t>
    </rPh>
    <rPh sb="2" eb="3">
      <t>ダン</t>
    </rPh>
    <phoneticPr fontId="1"/>
  </si>
  <si>
    <t>をｸﾘｯｸする</t>
    <phoneticPr fontId="1"/>
  </si>
  <si>
    <t>　　をクリックして完了です。</t>
    <rPh sb="9" eb="11">
      <t>カンリョウ</t>
    </rPh>
    <phoneticPr fontId="1"/>
  </si>
  <si>
    <t>図-１</t>
    <rPh sb="0" eb="1">
      <t>ズ</t>
    </rPh>
    <phoneticPr fontId="1"/>
  </si>
  <si>
    <t>標準機能---組合せを年齢順に並べ替えられます</t>
    <rPh sb="0" eb="2">
      <t>ヒョウジュン</t>
    </rPh>
    <rPh sb="2" eb="4">
      <t>キノウ</t>
    </rPh>
    <rPh sb="7" eb="9">
      <t>クミアワ</t>
    </rPh>
    <rPh sb="11" eb="13">
      <t>ネンレイ</t>
    </rPh>
    <rPh sb="13" eb="14">
      <t>ジュン</t>
    </rPh>
    <rPh sb="15" eb="16">
      <t>ナラ</t>
    </rPh>
    <rPh sb="17" eb="18">
      <t>カ</t>
    </rPh>
    <phoneticPr fontId="11"/>
  </si>
  <si>
    <t>[１] エクセル２０１０以降</t>
    <rPh sb="12" eb="14">
      <t>イコウ</t>
    </rPh>
    <phoneticPr fontId="1"/>
  </si>
  <si>
    <r>
      <rPr>
        <b/>
        <sz val="11"/>
        <rFont val="ＭＳ Ｐゴシック"/>
        <family val="3"/>
        <charset val="128"/>
      </rPr>
      <t>[２] エクセル2007</t>
    </r>
    <r>
      <rPr>
        <sz val="11"/>
        <rFont val="ＭＳ Ｐゴシック"/>
        <family val="3"/>
        <charset val="128"/>
      </rPr>
      <t>　　（エクセル2010以降は下にあります</t>
    </r>
    <rPh sb="23" eb="25">
      <t>イコウ</t>
    </rPh>
    <rPh sb="26" eb="27">
      <t>シタ</t>
    </rPh>
    <phoneticPr fontId="1"/>
  </si>
  <si>
    <t>図-2</t>
    <rPh sb="0" eb="1">
      <t>ズ</t>
    </rPh>
    <phoneticPr fontId="1"/>
  </si>
  <si>
    <t>１．開いたエクセル（組合せ成績表）の左上にありOfficeマーク④を左クリックすると下図の表示がされます。</t>
    <rPh sb="2" eb="3">
      <t>ヒラ</t>
    </rPh>
    <rPh sb="10" eb="12">
      <t>クミアワ</t>
    </rPh>
    <rPh sb="13" eb="15">
      <t>セイセキ</t>
    </rPh>
    <rPh sb="15" eb="16">
      <t>ヒョウ</t>
    </rPh>
    <rPh sb="18" eb="20">
      <t>ヒダリウエ</t>
    </rPh>
    <rPh sb="34" eb="35">
      <t>ヒダリ</t>
    </rPh>
    <rPh sb="42" eb="44">
      <t>カズ</t>
    </rPh>
    <rPh sb="45" eb="47">
      <t>ヒョウジ</t>
    </rPh>
    <phoneticPr fontId="1"/>
  </si>
  <si>
    <t xml:space="preserve">    最下段のExcelｵﾌﾟｼｮﾝ⑤を左クリックする。</t>
    <rPh sb="4" eb="6">
      <t>サイカ</t>
    </rPh>
    <rPh sb="6" eb="7">
      <t>ダン</t>
    </rPh>
    <rPh sb="21" eb="22">
      <t>ヒダリ</t>
    </rPh>
    <phoneticPr fontId="1"/>
  </si>
  <si>
    <t>（参考）　上記の「エクセルのオプション」は　「ＡＬＴ」＋「Ｔ」＋「Ｏ」　でも表示できます</t>
    <rPh sb="1" eb="3">
      <t>サンコウ</t>
    </rPh>
    <rPh sb="5" eb="7">
      <t>ジョウキ</t>
    </rPh>
    <rPh sb="38" eb="40">
      <t>ヒョウジ</t>
    </rPh>
    <phoneticPr fontId="1"/>
  </si>
  <si>
    <t>　　　　　 表示されたら「数式」を選択し設定して下さい。</t>
    <rPh sb="6" eb="8">
      <t>ヒョウジ</t>
    </rPh>
    <rPh sb="13" eb="15">
      <t>スウシキ</t>
    </rPh>
    <rPh sb="17" eb="19">
      <t>センタク</t>
    </rPh>
    <rPh sb="20" eb="22">
      <t>セッテイ</t>
    </rPh>
    <rPh sb="24" eb="25">
      <t>クダ</t>
    </rPh>
    <phoneticPr fontId="1"/>
  </si>
  <si>
    <t>「計算方法の設定」の「反復計算を行う」②にチェックを入れ、最下段の「ＯＫ」③をクリックして完了です。反復回数、最大値　等はﾃﾞﾌｫﾙﾄのままでＯＫです。</t>
    <rPh sb="45" eb="47">
      <t>カンリョウ</t>
    </rPh>
    <rPh sb="50" eb="52">
      <t>ハンプク</t>
    </rPh>
    <rPh sb="52" eb="54">
      <t>カイスウ</t>
    </rPh>
    <rPh sb="55" eb="58">
      <t>サイダイチ</t>
    </rPh>
    <rPh sb="59" eb="60">
      <t>トウ</t>
    </rPh>
    <phoneticPr fontId="1"/>
  </si>
  <si>
    <t>２．Excelのｵﾌﾟｼｮﾝが開いたら左側の列の「基本設定」「数式」｢文章校正」、、、から「数式」（図-１の①）をｸﾘｯｸし、</t>
    <rPh sb="15" eb="16">
      <t>ヒラ</t>
    </rPh>
    <rPh sb="19" eb="21">
      <t>ヒダリガワ</t>
    </rPh>
    <rPh sb="22" eb="23">
      <t>レツ</t>
    </rPh>
    <rPh sb="25" eb="27">
      <t>キホン</t>
    </rPh>
    <rPh sb="27" eb="29">
      <t>セッテイ</t>
    </rPh>
    <rPh sb="31" eb="33">
      <t>スウシキ</t>
    </rPh>
    <rPh sb="35" eb="37">
      <t>ブンショウ</t>
    </rPh>
    <rPh sb="37" eb="39">
      <t>コウセイ</t>
    </rPh>
    <rPh sb="46" eb="48">
      <t>スウシキ</t>
    </rPh>
    <rPh sb="50" eb="51">
      <t>ズ</t>
    </rPh>
    <phoneticPr fontId="1"/>
  </si>
  <si>
    <t>　　表示が変わったら「計算方法の設定」の「反復計算を行う」にチェックを入れ②、最下段の「ＯＫ」③</t>
    <rPh sb="2" eb="4">
      <t>ヒョウジ</t>
    </rPh>
    <rPh sb="5" eb="6">
      <t>カ</t>
    </rPh>
    <rPh sb="11" eb="13">
      <t>ケイサン</t>
    </rPh>
    <rPh sb="13" eb="15">
      <t>ホウホウ</t>
    </rPh>
    <rPh sb="16" eb="18">
      <t>セッテイ</t>
    </rPh>
    <rPh sb="21" eb="23">
      <t>ハンプク</t>
    </rPh>
    <rPh sb="23" eb="25">
      <t>ケイサン</t>
    </rPh>
    <rPh sb="26" eb="27">
      <t>オコナ</t>
    </rPh>
    <rPh sb="35" eb="36">
      <t>イ</t>
    </rPh>
    <rPh sb="39" eb="41">
      <t>サイカ</t>
    </rPh>
    <rPh sb="41" eb="42">
      <t>ダン</t>
    </rPh>
    <phoneticPr fontId="1"/>
  </si>
  <si>
    <t>[ファイル]、[オプション]と選択し、オプションが開いたら左側の列の「基本設定」「数式」｢文章校正」、、、から「数式」（図-1の ①)を選びｸﾘｯｸする。表示が変わったら</t>
    <rPh sb="15" eb="17">
      <t>センタク</t>
    </rPh>
    <rPh sb="25" eb="26">
      <t>ヒラ</t>
    </rPh>
    <rPh sb="29" eb="31">
      <t>ヒダリガワ</t>
    </rPh>
    <rPh sb="32" eb="33">
      <t>レツ</t>
    </rPh>
    <rPh sb="68" eb="69">
      <t>エラ</t>
    </rPh>
    <rPh sb="77" eb="79">
      <t>ヒョウジ</t>
    </rPh>
    <rPh sb="80" eb="81">
      <t>カ</t>
    </rPh>
    <phoneticPr fontId="1"/>
  </si>
  <si>
    <t>(3) [一時保存]しました</t>
    <rPh sb="5" eb="7">
      <t>イチジ</t>
    </rPh>
    <rPh sb="7" eb="9">
      <t>ホゾン</t>
    </rPh>
    <phoneticPr fontId="11"/>
  </si>
  <si>
    <t>・組合せ入力：組合せ入力表（ｼｰﾄ①）を使い、「標準機能」と「ﾌﾙ機能」を選択できます。</t>
    <rPh sb="1" eb="3">
      <t>クミアワ</t>
    </rPh>
    <rPh sb="4" eb="6">
      <t>ニュウリョク</t>
    </rPh>
    <rPh sb="7" eb="9">
      <t>クミアワ</t>
    </rPh>
    <rPh sb="10" eb="12">
      <t>ニュウリョク</t>
    </rPh>
    <rPh sb="12" eb="13">
      <t>ヒョウ</t>
    </rPh>
    <rPh sb="20" eb="21">
      <t>ツカ</t>
    </rPh>
    <rPh sb="24" eb="26">
      <t>ヒョウジュン</t>
    </rPh>
    <rPh sb="26" eb="28">
      <t>キノウ</t>
    </rPh>
    <rPh sb="33" eb="35">
      <t>キノウ</t>
    </rPh>
    <rPh sb="37" eb="39">
      <t>センタク</t>
    </rPh>
    <phoneticPr fontId="11"/>
  </si>
  <si>
    <t>　　　　「シート⑥循環参照可能化」の設定を</t>
    <phoneticPr fontId="11"/>
  </si>
  <si>
    <t>　　　　行って下さい。</t>
    <phoneticPr fontId="11"/>
  </si>
  <si>
    <t>　　　　｢ｷｬﾝｾﾙ」をクリックした上で</t>
    <phoneticPr fontId="11"/>
  </si>
  <si>
    <r>
      <t>重要：</t>
    </r>
    <r>
      <rPr>
        <b/>
        <sz val="11"/>
        <color rgb="FFFF0000"/>
        <rFont val="ＭＳ Ｐゴシック"/>
        <family val="3"/>
        <charset val="128"/>
        <scheme val="minor"/>
      </rPr>
      <t>「循環参照に関する警告」</t>
    </r>
    <r>
      <rPr>
        <b/>
        <sz val="11"/>
        <rFont val="ＭＳ Ｐゴシック"/>
        <family val="3"/>
        <charset val="128"/>
        <scheme val="minor"/>
      </rPr>
      <t>が出た場合</t>
    </r>
    <rPh sb="0" eb="2">
      <t>ジュウヨウ</t>
    </rPh>
    <rPh sb="18" eb="20">
      <t>バアイ</t>
    </rPh>
    <phoneticPr fontId="11"/>
  </si>
  <si>
    <t>（反復計算を可能にする設定です）</t>
    <rPh sb="1" eb="3">
      <t>ハンプク</t>
    </rPh>
    <rPh sb="3" eb="5">
      <t>ケイサン</t>
    </rPh>
    <rPh sb="6" eb="8">
      <t>カノウ</t>
    </rPh>
    <rPh sb="11" eb="13">
      <t>セッテイ</t>
    </rPh>
    <phoneticPr fontId="11"/>
  </si>
  <si>
    <t>図-3</t>
    <rPh sb="0" eb="1">
      <t>ズ</t>
    </rPh>
    <phoneticPr fontId="1"/>
  </si>
  <si>
    <t>１．Kingsoft Spreadsheetsを開き、左上の（図-4　⑥）をｸﾘｯｸし</t>
    <rPh sb="24" eb="25">
      <t>ヒラ</t>
    </rPh>
    <rPh sb="27" eb="29">
      <t>ヒダリウエ</t>
    </rPh>
    <rPh sb="31" eb="32">
      <t>ズ</t>
    </rPh>
    <phoneticPr fontId="1"/>
  </si>
  <si>
    <t>　　ﾒﾆｭｰを表示させる。</t>
    <rPh sb="7" eb="9">
      <t>ヒョウジ</t>
    </rPh>
    <phoneticPr fontId="1"/>
  </si>
  <si>
    <t>２．「ツール」「オプション」｢計算方法」と選択し「計算方法」の</t>
    <rPh sb="15" eb="17">
      <t>ケイサン</t>
    </rPh>
    <rPh sb="17" eb="19">
      <t>ホウホウ</t>
    </rPh>
    <rPh sb="21" eb="23">
      <t>センタク</t>
    </rPh>
    <rPh sb="25" eb="27">
      <t>ケイサン</t>
    </rPh>
    <rPh sb="27" eb="29">
      <t>ホウホウ</t>
    </rPh>
    <phoneticPr fontId="1"/>
  </si>
  <si>
    <t>　　反復計算(I)にチェックマークを入れる。</t>
    <rPh sb="2" eb="4">
      <t>ハンプク</t>
    </rPh>
    <rPh sb="4" eb="6">
      <t>ケイサン</t>
    </rPh>
    <rPh sb="18" eb="19">
      <t>イ</t>
    </rPh>
    <phoneticPr fontId="1"/>
  </si>
  <si>
    <t>　　（回数、精度はﾃﾞﾌｫﾙﾄのままでＯＫ）</t>
    <rPh sb="3" eb="5">
      <t>カイスウ</t>
    </rPh>
    <rPh sb="6" eb="8">
      <t>セイド</t>
    </rPh>
    <phoneticPr fontId="1"/>
  </si>
  <si>
    <t>３．右下の「ＯＫ」をクリックして完了です。</t>
    <rPh sb="2" eb="3">
      <t>ミギ</t>
    </rPh>
    <rPh sb="3" eb="4">
      <t>シタ</t>
    </rPh>
    <rPh sb="16" eb="18">
      <t>カンリョウ</t>
    </rPh>
    <phoneticPr fontId="1"/>
  </si>
  <si>
    <t>図-4　</t>
    <rPh sb="0" eb="1">
      <t>ズ</t>
    </rPh>
    <phoneticPr fontId="1"/>
  </si>
  <si>
    <t>[3] KingSoft Spreadsheets</t>
    <phoneticPr fontId="1"/>
  </si>
  <si>
    <t>(Excel2010～、2007、Kingsoft)</t>
    <phoneticPr fontId="1"/>
  </si>
  <si>
    <t>組合せﾃﾞｰﾀの表11，12を切り替えて表示</t>
    <rPh sb="0" eb="2">
      <t>クミアワ</t>
    </rPh>
    <rPh sb="8" eb="9">
      <t>ヒョウ</t>
    </rPh>
    <rPh sb="15" eb="16">
      <t>キ</t>
    </rPh>
    <rPh sb="17" eb="18">
      <t>カ</t>
    </rPh>
    <rPh sb="20" eb="22">
      <t>ヒョウジ</t>
    </rPh>
    <phoneticPr fontId="11"/>
  </si>
  <si>
    <t>6/11ここまで完了</t>
    <rPh sb="8" eb="10">
      <t>カンリョウ</t>
    </rPh>
    <phoneticPr fontId="1"/>
  </si>
  <si>
    <t>CU列の合計</t>
    <rPh sb="2" eb="3">
      <t>レツ</t>
    </rPh>
    <rPh sb="4" eb="6">
      <t>ゴウケイ</t>
    </rPh>
    <phoneticPr fontId="11"/>
  </si>
  <si>
    <t>名前あり、スコアなし</t>
    <rPh sb="0" eb="2">
      <t>ナマエ</t>
    </rPh>
    <phoneticPr fontId="11"/>
  </si>
  <si>
    <t>名前なし、スコアあり</t>
    <rPh sb="0" eb="2">
      <t>ナマエ</t>
    </rPh>
    <phoneticPr fontId="11"/>
  </si>
  <si>
    <t>の場合に「１」、正常は「０」</t>
    <rPh sb="1" eb="3">
      <t>バアイ</t>
    </rPh>
    <rPh sb="8" eb="10">
      <t>セイジョウ</t>
    </rPh>
    <phoneticPr fontId="11"/>
  </si>
  <si>
    <t>new</t>
    <phoneticPr fontId="1"/>
  </si>
  <si>
    <t>↑40/48行の判別用</t>
    <rPh sb="6" eb="7">
      <t>ギョウ</t>
    </rPh>
    <rPh sb="8" eb="10">
      <t>ハンベツ</t>
    </rPh>
    <rPh sb="10" eb="11">
      <t>ヨウ</t>
    </rPh>
    <phoneticPr fontId="1"/>
  </si>
  <si>
    <t>ﾌﾞﾗﾝｸ：40行</t>
    <rPh sb="8" eb="9">
      <t>ギョウ</t>
    </rPh>
    <phoneticPr fontId="1"/>
  </si>
  <si>
    <t>ﾏｸﾛではstring扱い</t>
    <rPh sb="11" eb="12">
      <t>アツカ</t>
    </rPh>
    <phoneticPr fontId="1"/>
  </si>
  <si>
    <t>ｽｺｱ記入</t>
    <rPh sb="3" eb="5">
      <t>キニュウ</t>
    </rPh>
    <phoneticPr fontId="1"/>
  </si>
  <si>
    <t>ｼｰﾄ①</t>
    <phoneticPr fontId="1"/>
  </si>
  <si>
    <t>ｼｰﾄ④</t>
    <phoneticPr fontId="1"/>
  </si>
  <si>
    <t>間違い</t>
    <rPh sb="0" eb="2">
      <t>マチガ</t>
    </rPh>
    <phoneticPr fontId="1"/>
  </si>
  <si>
    <t>ｼｰﾄ⑤</t>
    <phoneticPr fontId="1"/>
  </si>
  <si>
    <t>未記入</t>
    <rPh sb="0" eb="3">
      <t>ミキニュウ</t>
    </rPh>
    <phoneticPr fontId="1"/>
  </si>
  <si>
    <t>ｽｺｱ計</t>
    <rPh sb="3" eb="4">
      <t>ケイ</t>
    </rPh>
    <phoneticPr fontId="11"/>
  </si>
  <si>
    <t>参加人数</t>
    <rPh sb="0" eb="2">
      <t>サンカ</t>
    </rPh>
    <rPh sb="2" eb="4">
      <t>ニンズウ</t>
    </rPh>
    <phoneticPr fontId="11"/>
  </si>
  <si>
    <t>平均ｽｺｱ</t>
    <rPh sb="0" eb="2">
      <t>ヘイキン</t>
    </rPh>
    <phoneticPr fontId="11"/>
  </si>
  <si>
    <t>ﾍﾞｽｸﾞﾛ</t>
  </si>
  <si>
    <t>ﾍﾞｽｸﾞﾛ</t>
    <phoneticPr fontId="11"/>
  </si>
  <si>
    <t>平均ｽｺｱ=</t>
    <rPh sb="0" eb="2">
      <t>ヘイキン</t>
    </rPh>
    <phoneticPr fontId="11"/>
  </si>
  <si>
    <t>ﾍﾞｽｸﾞﾛｽｺｱ=</t>
    <phoneticPr fontId="11"/>
  </si>
  <si>
    <t>本日の結果</t>
    <rPh sb="0" eb="2">
      <t>ホンジツ</t>
    </rPh>
    <rPh sb="3" eb="5">
      <t>ケッカ</t>
    </rPh>
    <phoneticPr fontId="11"/>
  </si>
  <si>
    <t>本日の結果</t>
    <rPh sb="0" eb="2">
      <t>ホンジツ</t>
    </rPh>
    <rPh sb="3" eb="5">
      <t>ケッカ</t>
    </rPh>
    <phoneticPr fontId="1"/>
  </si>
  <si>
    <t>名簿に追加が必要な場合、記入して下さい。ﾌﾟﾙﾀﾞｳﾝﾒﾆｭｰの最下段に表示されます。</t>
    <rPh sb="0" eb="2">
      <t>メイボ</t>
    </rPh>
    <rPh sb="3" eb="5">
      <t>ツイカ</t>
    </rPh>
    <rPh sb="6" eb="8">
      <t>ヒツヨウ</t>
    </rPh>
    <rPh sb="9" eb="11">
      <t>バアイ</t>
    </rPh>
    <rPh sb="12" eb="14">
      <t>キニュウ</t>
    </rPh>
    <rPh sb="16" eb="17">
      <t>クダ</t>
    </rPh>
    <rPh sb="32" eb="35">
      <t>サイカダン</t>
    </rPh>
    <rPh sb="36" eb="38">
      <t>ヒョウジ</t>
    </rPh>
    <phoneticPr fontId="11"/>
  </si>
  <si>
    <t>このシートはｽｺｱ記入専用です。ｼｰﾄ①、ｼｰﾄ④に記入したｽｺｱはここには表示されません</t>
    <rPh sb="9" eb="11">
      <t>キニュウ</t>
    </rPh>
    <rPh sb="11" eb="13">
      <t>センヨウ</t>
    </rPh>
    <rPh sb="26" eb="28">
      <t>キニュウ</t>
    </rPh>
    <rPh sb="38" eb="40">
      <t>ヒョウジ</t>
    </rPh>
    <phoneticPr fontId="1"/>
  </si>
  <si>
    <t>このシートにスコアを記入する場合、開催回数を右の欄に記入して下さい。⇒</t>
    <rPh sb="10" eb="12">
      <t>キニュウ</t>
    </rPh>
    <rPh sb="14" eb="16">
      <t>バアイ</t>
    </rPh>
    <rPh sb="17" eb="19">
      <t>カイサイ</t>
    </rPh>
    <rPh sb="19" eb="21">
      <t>カイスウ</t>
    </rPh>
    <rPh sb="22" eb="23">
      <t>ミギ</t>
    </rPh>
    <rPh sb="24" eb="25">
      <t>ラン</t>
    </rPh>
    <rPh sb="26" eb="28">
      <t>キニュウ</t>
    </rPh>
    <rPh sb="30" eb="31">
      <t>クダ</t>
    </rPh>
    <phoneticPr fontId="1"/>
  </si>
  <si>
    <t>Ver05　2016/06/22</t>
    <phoneticPr fontId="11"/>
  </si>
  <si>
    <t>ワタナベ　マサアキ</t>
  </si>
  <si>
    <t>キミジマ　キュウジ</t>
  </si>
  <si>
    <t>甘楽
CC</t>
  </si>
  <si>
    <t>高山
GC</t>
  </si>
  <si>
    <t>藤岡
東</t>
  </si>
  <si>
    <t>勝田</t>
  </si>
  <si>
    <t>南村</t>
  </si>
  <si>
    <t>小倉</t>
  </si>
  <si>
    <t>藤田</t>
  </si>
  <si>
    <t>伊藤</t>
  </si>
  <si>
    <t>山中</t>
  </si>
  <si>
    <t>中川</t>
  </si>
  <si>
    <t>豆田</t>
  </si>
  <si>
    <t>塩崎</t>
  </si>
  <si>
    <t>神崎</t>
  </si>
  <si>
    <t>奥原</t>
  </si>
  <si>
    <t>笠原</t>
  </si>
  <si>
    <t>神林</t>
  </si>
  <si>
    <t>高木</t>
  </si>
  <si>
    <t>佐藤清</t>
  </si>
  <si>
    <t>小林邦</t>
  </si>
  <si>
    <t>コバヤシ　クニオ</t>
  </si>
  <si>
    <t>ツギハシ　ハジメ</t>
  </si>
  <si>
    <t>サトナカ　コウイチロウ</t>
  </si>
  <si>
    <t>佐土原</t>
  </si>
  <si>
    <t>回数</t>
    <rPh sb="0" eb="2">
      <t>カイスウ</t>
    </rPh>
    <phoneticPr fontId="1"/>
  </si>
  <si>
    <t>開催日</t>
    <rPh sb="0" eb="3">
      <t>カイサイビ</t>
    </rPh>
    <phoneticPr fontId="1"/>
  </si>
  <si>
    <t>曜日</t>
    <rPh sb="0" eb="2">
      <t>ヨウビ</t>
    </rPh>
    <phoneticPr fontId="1"/>
  </si>
  <si>
    <t>伊藤 雅明</t>
  </si>
  <si>
    <t>神林 和夫</t>
  </si>
  <si>
    <t>里中　孝一郎</t>
  </si>
  <si>
    <t>鈴木 優</t>
  </si>
  <si>
    <t>高木 芳廣</t>
  </si>
  <si>
    <t>村上　明徳</t>
  </si>
  <si>
    <t>･成績は組合せ入力表&amp;成績記入表（このｼｰﾄ①）、ｼｰﾄ④ｽｺｱ記入依頼用紙のいずれか一つに記入してください</t>
    <rPh sb="1" eb="3">
      <t>セイセキ</t>
    </rPh>
    <rPh sb="4" eb="6">
      <t>クミアワ</t>
    </rPh>
    <rPh sb="7" eb="9">
      <t>ニュウリョク</t>
    </rPh>
    <rPh sb="9" eb="10">
      <t>ヒョウ</t>
    </rPh>
    <rPh sb="11" eb="13">
      <t>セイセキ</t>
    </rPh>
    <rPh sb="13" eb="15">
      <t>キニュウ</t>
    </rPh>
    <rPh sb="15" eb="16">
      <t>ヒョウ</t>
    </rPh>
    <rPh sb="32" eb="34">
      <t>キニュウ</t>
    </rPh>
    <rPh sb="34" eb="36">
      <t>イライ</t>
    </rPh>
    <rPh sb="36" eb="38">
      <t>ヨウシ</t>
    </rPh>
    <rPh sb="43" eb="44">
      <t>ヒト</t>
    </rPh>
    <rPh sb="46" eb="48">
      <t>キニュウ</t>
    </rPh>
    <phoneticPr fontId="11"/>
  </si>
  <si>
    <t>五十嵐</t>
  </si>
  <si>
    <t>市来</t>
  </si>
  <si>
    <t>上田</t>
  </si>
  <si>
    <t>大塩</t>
  </si>
  <si>
    <t>岡本</t>
  </si>
  <si>
    <t>興津</t>
  </si>
  <si>
    <t>小野山</t>
  </si>
  <si>
    <t>君島</t>
  </si>
  <si>
    <t>郷間</t>
  </si>
  <si>
    <t>小林修</t>
  </si>
  <si>
    <t>近藤裕</t>
  </si>
  <si>
    <t>坂本</t>
  </si>
  <si>
    <t>里中</t>
  </si>
  <si>
    <t>鈴木</t>
  </si>
  <si>
    <t>田中</t>
  </si>
  <si>
    <t>次橋</t>
  </si>
  <si>
    <t>坪原</t>
  </si>
  <si>
    <t>中山</t>
  </si>
  <si>
    <t>林</t>
  </si>
  <si>
    <t>福山</t>
  </si>
  <si>
    <t>古海</t>
  </si>
  <si>
    <t>三井</t>
  </si>
  <si>
    <t>村上</t>
  </si>
  <si>
    <t>湯浅</t>
  </si>
  <si>
    <t>横山</t>
  </si>
  <si>
    <t>吉澤</t>
  </si>
  <si>
    <t>吉田</t>
  </si>
  <si>
    <t>渡辺昭</t>
  </si>
  <si>
    <t>渡辺政</t>
  </si>
  <si>
    <t>ID</t>
    <phoneticPr fontId="1"/>
  </si>
  <si>
    <t>No</t>
    <phoneticPr fontId="1"/>
  </si>
  <si>
    <t>フリカナ</t>
    <phoneticPr fontId="1"/>
  </si>
  <si>
    <t xml:space="preserve">  --</t>
    <phoneticPr fontId="1"/>
  </si>
  <si>
    <t>-</t>
    <phoneticPr fontId="1"/>
  </si>
  <si>
    <t>アンドウ　アキオ</t>
  </si>
  <si>
    <t>安藤</t>
  </si>
  <si>
    <t>←回数の数字のみ記入</t>
    <rPh sb="1" eb="3">
      <t>カイスウ</t>
    </rPh>
    <rPh sb="4" eb="6">
      <t>スウジ</t>
    </rPh>
    <rPh sb="8" eb="10">
      <t>キニュウ</t>
    </rPh>
    <phoneticPr fontId="11"/>
  </si>
  <si>
    <t>福山 正隆</t>
  </si>
  <si>
    <t>飯田</t>
  </si>
  <si>
    <t>イイダ　ノボル</t>
  </si>
  <si>
    <t>　★★ここでのﾒﾝﾊﾞｰの変更等は行わないでください。保存後に出来ます★★</t>
    <rPh sb="13" eb="15">
      <t>ヘンコウ</t>
    </rPh>
    <rPh sb="15" eb="16">
      <t>トウ</t>
    </rPh>
    <rPh sb="17" eb="18">
      <t>オコナ</t>
    </rPh>
    <rPh sb="27" eb="29">
      <t>ホゾン</t>
    </rPh>
    <rPh sb="29" eb="30">
      <t>ゴ</t>
    </rPh>
    <rPh sb="31" eb="33">
      <t>デキ</t>
    </rPh>
    <phoneticPr fontId="11"/>
  </si>
  <si>
    <t>★★ここではﾒﾝﾊﾞｰの変更をしないでください。必ず(1)へ戻って行ってください★★</t>
    <rPh sb="24" eb="25">
      <t>カナラ</t>
    </rPh>
    <rPh sb="30" eb="31">
      <t>モド</t>
    </rPh>
    <rPh sb="33" eb="34">
      <t>オコナ</t>
    </rPh>
    <phoneticPr fontId="11"/>
  </si>
  <si>
    <t>★★ここではﾒﾝﾊﾞｰの変更をしないでください。必ず(1)へ戻って行ってください★★</t>
    <phoneticPr fontId="11"/>
  </si>
  <si>
    <t>マツオカ　カズヒコ</t>
  </si>
  <si>
    <t>モリ　タケト</t>
  </si>
  <si>
    <t>松岡</t>
  </si>
  <si>
    <t>森</t>
  </si>
  <si>
    <t>宮田 祐二</t>
  </si>
  <si>
    <t>ミヤタ　ユウジ</t>
  </si>
  <si>
    <t>宮田</t>
  </si>
  <si>
    <t>月</t>
    <rPh sb="0" eb="1">
      <t>ツキ</t>
    </rPh>
    <phoneticPr fontId="29"/>
  </si>
  <si>
    <t>金</t>
    <rPh sb="0" eb="1">
      <t>キン</t>
    </rPh>
    <phoneticPr fontId="29"/>
  </si>
  <si>
    <t>藤田</t>
    <rPh sb="0" eb="2">
      <t>フジタ</t>
    </rPh>
    <phoneticPr fontId="29"/>
  </si>
  <si>
    <t>田中</t>
    <rPh sb="0" eb="2">
      <t>タナカ</t>
    </rPh>
    <phoneticPr fontId="29"/>
  </si>
  <si>
    <t>里中</t>
    <rPh sb="0" eb="2">
      <t>サトナカ</t>
    </rPh>
    <phoneticPr fontId="29"/>
  </si>
  <si>
    <t>高木</t>
    <rPh sb="0" eb="2">
      <t>タカギ</t>
    </rPh>
    <phoneticPr fontId="29"/>
  </si>
  <si>
    <t>伊藤</t>
    <rPh sb="0" eb="2">
      <t>イトウ</t>
    </rPh>
    <phoneticPr fontId="29"/>
  </si>
  <si>
    <t>山中</t>
    <rPh sb="0" eb="2">
      <t>ヤマナカ</t>
    </rPh>
    <phoneticPr fontId="29"/>
  </si>
  <si>
    <t>佐土原</t>
    <rPh sb="0" eb="3">
      <t>サドハラ</t>
    </rPh>
    <phoneticPr fontId="29"/>
  </si>
  <si>
    <t>近藤静</t>
  </si>
  <si>
    <t>コンドウ　シズオ</t>
  </si>
  <si>
    <t>ツカゴシ　ヨシナリ</t>
  </si>
  <si>
    <t>塚越</t>
  </si>
  <si>
    <t>森</t>
    <rPh sb="0" eb="1">
      <t>モリ</t>
    </rPh>
    <phoneticPr fontId="29"/>
  </si>
  <si>
    <t>塩崎</t>
    <rPh sb="0" eb="2">
      <t>シオザキ</t>
    </rPh>
    <phoneticPr fontId="29"/>
  </si>
  <si>
    <t>・A4縦用紙に合わせてありますが自由に変更してください</t>
    <rPh sb="3" eb="4">
      <t>タテ</t>
    </rPh>
    <rPh sb="4" eb="6">
      <t>ヨウシ</t>
    </rPh>
    <rPh sb="7" eb="8">
      <t>ア</t>
    </rPh>
    <rPh sb="16" eb="18">
      <t>ジユウ</t>
    </rPh>
    <rPh sb="19" eb="21">
      <t>ヘンコウ</t>
    </rPh>
    <phoneticPr fontId="1"/>
  </si>
  <si>
    <t>古海</t>
    <rPh sb="0" eb="2">
      <t>フルミ</t>
    </rPh>
    <phoneticPr fontId="29"/>
  </si>
  <si>
    <t>小倉</t>
    <rPh sb="0" eb="2">
      <t>オグラ</t>
    </rPh>
    <phoneticPr fontId="29"/>
  </si>
  <si>
    <t>笠原</t>
    <rPh sb="0" eb="2">
      <t>カサハラ</t>
    </rPh>
    <phoneticPr fontId="29"/>
  </si>
  <si>
    <t>トヨシマ　ヨシミ</t>
  </si>
  <si>
    <t>豊島</t>
  </si>
  <si>
    <t>安藤</t>
    <rPh sb="0" eb="2">
      <t>アンドウ</t>
    </rPh>
    <phoneticPr fontId="6"/>
  </si>
  <si>
    <t>安藤　明夫</t>
    <rPh sb="0" eb="2">
      <t>アンドウ</t>
    </rPh>
    <rPh sb="3" eb="5">
      <t>アキオ</t>
    </rPh>
    <phoneticPr fontId="6"/>
  </si>
  <si>
    <t>飯田</t>
    <rPh sb="0" eb="2">
      <t>イイダ</t>
    </rPh>
    <phoneticPr fontId="6"/>
  </si>
  <si>
    <t>飯田　登</t>
    <rPh sb="0" eb="2">
      <t>イイダ</t>
    </rPh>
    <rPh sb="3" eb="4">
      <t>ノボル</t>
    </rPh>
    <phoneticPr fontId="6"/>
  </si>
  <si>
    <t>五十嵐</t>
    <rPh sb="0" eb="3">
      <t>イガラシ</t>
    </rPh>
    <phoneticPr fontId="6"/>
  </si>
  <si>
    <t>五十嵐　信太郎</t>
    <rPh sb="0" eb="3">
      <t>イガラシ</t>
    </rPh>
    <phoneticPr fontId="5"/>
  </si>
  <si>
    <t>市来</t>
    <rPh sb="0" eb="2">
      <t>イチキ</t>
    </rPh>
    <phoneticPr fontId="6"/>
  </si>
  <si>
    <t xml:space="preserve">市来　正浩 </t>
    <rPh sb="0" eb="2">
      <t>イチキ</t>
    </rPh>
    <phoneticPr fontId="5"/>
  </si>
  <si>
    <t>伊藤</t>
    <rPh sb="0" eb="2">
      <t>イトウ</t>
    </rPh>
    <phoneticPr fontId="6"/>
  </si>
  <si>
    <t>上田</t>
    <rPh sb="0" eb="2">
      <t>ウエダ</t>
    </rPh>
    <phoneticPr fontId="6"/>
  </si>
  <si>
    <t>上田　誠一</t>
    <rPh sb="0" eb="2">
      <t>ウエダ</t>
    </rPh>
    <rPh sb="3" eb="5">
      <t>セイイチ</t>
    </rPh>
    <phoneticPr fontId="5"/>
  </si>
  <si>
    <t>大塩</t>
    <rPh sb="0" eb="1">
      <t>ダイ</t>
    </rPh>
    <rPh sb="1" eb="2">
      <t>シオ</t>
    </rPh>
    <phoneticPr fontId="6"/>
  </si>
  <si>
    <t>大塩 忠</t>
    <rPh sb="0" eb="2">
      <t>オオシオ</t>
    </rPh>
    <rPh sb="3" eb="4">
      <t>チュウ</t>
    </rPh>
    <phoneticPr fontId="5"/>
  </si>
  <si>
    <t>岡本</t>
    <rPh sb="0" eb="2">
      <t>オカモト</t>
    </rPh>
    <phoneticPr fontId="6"/>
  </si>
  <si>
    <t>岡本　馨</t>
    <rPh sb="0" eb="2">
      <t>オカモト</t>
    </rPh>
    <rPh sb="3" eb="4">
      <t>カオル</t>
    </rPh>
    <phoneticPr fontId="5"/>
  </si>
  <si>
    <t>興津</t>
    <rPh sb="0" eb="2">
      <t>オキツ</t>
    </rPh>
    <phoneticPr fontId="6"/>
  </si>
  <si>
    <t>興津　忠隆</t>
    <rPh sb="0" eb="2">
      <t>オキツ</t>
    </rPh>
    <phoneticPr fontId="5"/>
  </si>
  <si>
    <t>奥原</t>
    <rPh sb="0" eb="2">
      <t>オクハラ</t>
    </rPh>
    <phoneticPr fontId="6"/>
  </si>
  <si>
    <t>奥原　博</t>
    <rPh sb="0" eb="2">
      <t>オクハラ</t>
    </rPh>
    <rPh sb="3" eb="4">
      <t>ヒロシ</t>
    </rPh>
    <phoneticPr fontId="6"/>
  </si>
  <si>
    <t>小倉</t>
    <rPh sb="0" eb="2">
      <t>オグラ</t>
    </rPh>
    <phoneticPr fontId="6"/>
  </si>
  <si>
    <t>小倉　節生</t>
    <rPh sb="0" eb="2">
      <t>オグラ</t>
    </rPh>
    <rPh sb="3" eb="5">
      <t>セツオ</t>
    </rPh>
    <phoneticPr fontId="5"/>
  </si>
  <si>
    <t>小野山</t>
    <rPh sb="0" eb="3">
      <t>オノヤマ</t>
    </rPh>
    <phoneticPr fontId="6"/>
  </si>
  <si>
    <t>小野山　哲夫</t>
    <rPh sb="0" eb="3">
      <t>オノヤマ</t>
    </rPh>
    <phoneticPr fontId="5"/>
  </si>
  <si>
    <t>笠原</t>
    <rPh sb="0" eb="2">
      <t>カサハラ</t>
    </rPh>
    <phoneticPr fontId="6"/>
  </si>
  <si>
    <t>笠原　正信</t>
    <rPh sb="0" eb="2">
      <t>カサハラ</t>
    </rPh>
    <rPh sb="3" eb="5">
      <t>マサノブ</t>
    </rPh>
    <phoneticPr fontId="5"/>
  </si>
  <si>
    <t>勝田</t>
    <rPh sb="0" eb="2">
      <t>カツタ</t>
    </rPh>
    <phoneticPr fontId="6"/>
  </si>
  <si>
    <t>勝田　重雄</t>
    <rPh sb="0" eb="2">
      <t>カツタ</t>
    </rPh>
    <rPh sb="3" eb="5">
      <t>シゲオ</t>
    </rPh>
    <phoneticPr fontId="5"/>
  </si>
  <si>
    <t>神崎</t>
    <rPh sb="0" eb="2">
      <t>カンザキ</t>
    </rPh>
    <phoneticPr fontId="6"/>
  </si>
  <si>
    <t>神崎　了吉</t>
    <rPh sb="0" eb="2">
      <t>カンザキ</t>
    </rPh>
    <rPh sb="3" eb="5">
      <t>リョウキチ</t>
    </rPh>
    <phoneticPr fontId="5"/>
  </si>
  <si>
    <t>神林</t>
    <rPh sb="0" eb="2">
      <t>カンバヤシ</t>
    </rPh>
    <phoneticPr fontId="6"/>
  </si>
  <si>
    <t>君島</t>
    <rPh sb="0" eb="2">
      <t>キミジマ</t>
    </rPh>
    <phoneticPr fontId="6"/>
  </si>
  <si>
    <t>君島　久次</t>
    <rPh sb="0" eb="2">
      <t>キミジマ</t>
    </rPh>
    <rPh sb="3" eb="5">
      <t>キュウジ</t>
    </rPh>
    <phoneticPr fontId="6"/>
  </si>
  <si>
    <t>郷間</t>
    <rPh sb="0" eb="2">
      <t>ゴウマ</t>
    </rPh>
    <phoneticPr fontId="6"/>
  </si>
  <si>
    <t>郷間　武志</t>
    <rPh sb="0" eb="2">
      <t>ゴウマ</t>
    </rPh>
    <phoneticPr fontId="5"/>
  </si>
  <si>
    <t>小林邦</t>
    <rPh sb="0" eb="2">
      <t>コバヤシ</t>
    </rPh>
    <rPh sb="2" eb="3">
      <t>クニ</t>
    </rPh>
    <phoneticPr fontId="6"/>
  </si>
  <si>
    <t>小林　邦雄</t>
    <rPh sb="0" eb="2">
      <t>コバヤシ</t>
    </rPh>
    <rPh sb="3" eb="5">
      <t>クニオ</t>
    </rPh>
    <phoneticPr fontId="6"/>
  </si>
  <si>
    <t>小林修</t>
    <rPh sb="0" eb="2">
      <t>コバヤシ</t>
    </rPh>
    <rPh sb="2" eb="3">
      <t>シュウ</t>
    </rPh>
    <phoneticPr fontId="6"/>
  </si>
  <si>
    <t>小林　修爾</t>
    <rPh sb="0" eb="2">
      <t>コバヤシ</t>
    </rPh>
    <phoneticPr fontId="5"/>
  </si>
  <si>
    <t>近藤静</t>
    <rPh sb="0" eb="2">
      <t>コンドウ</t>
    </rPh>
    <rPh sb="2" eb="3">
      <t>シズカ</t>
    </rPh>
    <phoneticPr fontId="6"/>
  </si>
  <si>
    <t>近藤　静雄</t>
    <rPh sb="0" eb="2">
      <t>コンドウ</t>
    </rPh>
    <rPh sb="3" eb="5">
      <t>シズオ</t>
    </rPh>
    <phoneticPr fontId="6"/>
  </si>
  <si>
    <t>近藤裕</t>
    <rPh sb="0" eb="2">
      <t>コンドウ</t>
    </rPh>
    <rPh sb="2" eb="3">
      <t>ユウ</t>
    </rPh>
    <phoneticPr fontId="6"/>
  </si>
  <si>
    <t>近藤　裕之</t>
    <rPh sb="0" eb="2">
      <t>コンドウ</t>
    </rPh>
    <phoneticPr fontId="5"/>
  </si>
  <si>
    <t>坂本</t>
    <rPh sb="0" eb="2">
      <t>サカモト</t>
    </rPh>
    <phoneticPr fontId="6"/>
  </si>
  <si>
    <t>坂本　眞</t>
    <rPh sb="0" eb="2">
      <t>サカモト</t>
    </rPh>
    <rPh sb="3" eb="4">
      <t>マコト</t>
    </rPh>
    <phoneticPr fontId="5"/>
  </si>
  <si>
    <t>佐藤清</t>
    <rPh sb="0" eb="2">
      <t>サトウ</t>
    </rPh>
    <rPh sb="2" eb="3">
      <t>キヨ</t>
    </rPh>
    <phoneticPr fontId="6"/>
  </si>
  <si>
    <t>佐藤　清仁</t>
    <rPh sb="0" eb="2">
      <t>サトウ</t>
    </rPh>
    <phoneticPr fontId="5"/>
  </si>
  <si>
    <t>里中</t>
    <rPh sb="0" eb="2">
      <t>サトナカ</t>
    </rPh>
    <phoneticPr fontId="6"/>
  </si>
  <si>
    <t>佐土原</t>
    <rPh sb="0" eb="3">
      <t>サドワラ</t>
    </rPh>
    <phoneticPr fontId="6"/>
  </si>
  <si>
    <t>佐土原　寛</t>
    <rPh sb="0" eb="3">
      <t>サドワラ</t>
    </rPh>
    <rPh sb="4" eb="5">
      <t>ヒロシ</t>
    </rPh>
    <phoneticPr fontId="6"/>
  </si>
  <si>
    <t>塩崎</t>
    <rPh sb="0" eb="2">
      <t>シオザキ</t>
    </rPh>
    <phoneticPr fontId="6"/>
  </si>
  <si>
    <t>塩崎　芳郎</t>
    <rPh sb="0" eb="2">
      <t>シオザキ</t>
    </rPh>
    <phoneticPr fontId="5"/>
  </si>
  <si>
    <t>鈴木</t>
    <rPh sb="0" eb="2">
      <t>スズキ</t>
    </rPh>
    <phoneticPr fontId="6"/>
  </si>
  <si>
    <t>高木</t>
    <rPh sb="0" eb="2">
      <t>タカギ</t>
    </rPh>
    <phoneticPr fontId="6"/>
  </si>
  <si>
    <t>田中</t>
    <rPh sb="0" eb="2">
      <t>タナカ</t>
    </rPh>
    <phoneticPr fontId="6"/>
  </si>
  <si>
    <t>田中　光助</t>
    <rPh sb="0" eb="2">
      <t>タナカ</t>
    </rPh>
    <phoneticPr fontId="5"/>
  </si>
  <si>
    <t>塚越</t>
    <rPh sb="0" eb="2">
      <t>ツカゴシ</t>
    </rPh>
    <phoneticPr fontId="6"/>
  </si>
  <si>
    <t>塚越　良也</t>
    <rPh sb="0" eb="2">
      <t>ツカゴシ</t>
    </rPh>
    <rPh sb="3" eb="5">
      <t>ヨシナリ</t>
    </rPh>
    <phoneticPr fontId="6"/>
  </si>
  <si>
    <t>次橋</t>
    <rPh sb="0" eb="2">
      <t>ツギハシ</t>
    </rPh>
    <phoneticPr fontId="6"/>
  </si>
  <si>
    <t>次橋　一</t>
    <rPh sb="0" eb="1">
      <t>ツギ</t>
    </rPh>
    <rPh sb="1" eb="2">
      <t>ハシ</t>
    </rPh>
    <rPh sb="3" eb="4">
      <t>ハジメ</t>
    </rPh>
    <phoneticPr fontId="6"/>
  </si>
  <si>
    <t>坪原</t>
    <rPh sb="0" eb="2">
      <t>ツボハラ</t>
    </rPh>
    <phoneticPr fontId="6"/>
  </si>
  <si>
    <t>坪原　功典</t>
    <rPh sb="0" eb="1">
      <t>ツボ</t>
    </rPh>
    <rPh sb="1" eb="2">
      <t>ハラ</t>
    </rPh>
    <phoneticPr fontId="5"/>
  </si>
  <si>
    <t>中川</t>
    <rPh sb="0" eb="2">
      <t>ナカガワ</t>
    </rPh>
    <phoneticPr fontId="6"/>
  </si>
  <si>
    <t>中川　英二</t>
    <rPh sb="0" eb="2">
      <t>ナカガワ</t>
    </rPh>
    <rPh sb="3" eb="5">
      <t>エイジ</t>
    </rPh>
    <phoneticPr fontId="5"/>
  </si>
  <si>
    <t>中山</t>
    <rPh sb="0" eb="2">
      <t>ナカヤマ</t>
    </rPh>
    <phoneticPr fontId="6"/>
  </si>
  <si>
    <t>中山　正光</t>
    <rPh sb="0" eb="2">
      <t>ナカヤマ</t>
    </rPh>
    <rPh sb="3" eb="5">
      <t>マサミツ</t>
    </rPh>
    <phoneticPr fontId="5"/>
  </si>
  <si>
    <t>林</t>
    <rPh sb="0" eb="1">
      <t>ハヤシ</t>
    </rPh>
    <phoneticPr fontId="6"/>
  </si>
  <si>
    <t>林　昭二</t>
    <rPh sb="0" eb="1">
      <t>ハヤシ</t>
    </rPh>
    <rPh sb="2" eb="4">
      <t>ショウジ</t>
    </rPh>
    <phoneticPr fontId="5"/>
  </si>
  <si>
    <t>福山</t>
    <rPh sb="0" eb="2">
      <t>フクヤマ</t>
    </rPh>
    <phoneticPr fontId="6"/>
  </si>
  <si>
    <t>藤田</t>
    <rPh sb="0" eb="2">
      <t>フジタ</t>
    </rPh>
    <phoneticPr fontId="6"/>
  </si>
  <si>
    <t>藤田　真</t>
    <rPh sb="0" eb="2">
      <t>フジタ</t>
    </rPh>
    <rPh sb="3" eb="4">
      <t>マコト</t>
    </rPh>
    <phoneticPr fontId="6"/>
  </si>
  <si>
    <t>古海</t>
    <rPh sb="0" eb="2">
      <t>フルミ</t>
    </rPh>
    <phoneticPr fontId="6"/>
  </si>
  <si>
    <t>古海 正友</t>
    <rPh sb="0" eb="2">
      <t>フルミ</t>
    </rPh>
    <phoneticPr fontId="5"/>
  </si>
  <si>
    <t>松岡</t>
    <rPh sb="0" eb="2">
      <t>マツオカ</t>
    </rPh>
    <phoneticPr fontId="6"/>
  </si>
  <si>
    <t>松岡　一彦</t>
    <rPh sb="0" eb="2">
      <t>マツオカ</t>
    </rPh>
    <rPh sb="3" eb="5">
      <t>カズヒコ</t>
    </rPh>
    <phoneticPr fontId="6"/>
  </si>
  <si>
    <t>豆田</t>
    <rPh sb="0" eb="1">
      <t>マメ</t>
    </rPh>
    <rPh sb="1" eb="2">
      <t>タ</t>
    </rPh>
    <phoneticPr fontId="6"/>
  </si>
  <si>
    <t>豆田　順一</t>
    <rPh sb="0" eb="1">
      <t>マメ</t>
    </rPh>
    <rPh sb="1" eb="2">
      <t>タ</t>
    </rPh>
    <rPh sb="3" eb="5">
      <t>ジュンイチ</t>
    </rPh>
    <phoneticPr fontId="6"/>
  </si>
  <si>
    <t>三井</t>
    <rPh sb="0" eb="2">
      <t>ミツイ</t>
    </rPh>
    <phoneticPr fontId="6"/>
  </si>
  <si>
    <t>三井　千大</t>
    <rPh sb="0" eb="2">
      <t>ミツイ</t>
    </rPh>
    <phoneticPr fontId="5"/>
  </si>
  <si>
    <t>南村</t>
    <rPh sb="0" eb="2">
      <t>ミナミムラ</t>
    </rPh>
    <phoneticPr fontId="6"/>
  </si>
  <si>
    <t>南村　英二</t>
    <rPh sb="0" eb="2">
      <t>ミナミムラ</t>
    </rPh>
    <rPh sb="3" eb="5">
      <t>エイジ</t>
    </rPh>
    <phoneticPr fontId="5"/>
  </si>
  <si>
    <t>宮田</t>
    <rPh sb="0" eb="2">
      <t>ミヤタ</t>
    </rPh>
    <phoneticPr fontId="6"/>
  </si>
  <si>
    <t>村上</t>
    <rPh sb="0" eb="2">
      <t>ムラカミ</t>
    </rPh>
    <phoneticPr fontId="6"/>
  </si>
  <si>
    <t>森</t>
    <rPh sb="0" eb="1">
      <t>モリ</t>
    </rPh>
    <phoneticPr fontId="6"/>
  </si>
  <si>
    <t>森　健人</t>
    <rPh sb="0" eb="1">
      <t>モリ</t>
    </rPh>
    <rPh sb="2" eb="4">
      <t>タケト</t>
    </rPh>
    <phoneticPr fontId="6"/>
  </si>
  <si>
    <t>山中</t>
    <rPh sb="0" eb="2">
      <t>ヤマナカ</t>
    </rPh>
    <phoneticPr fontId="6"/>
  </si>
  <si>
    <t>山中　廣次</t>
    <rPh sb="0" eb="2">
      <t>ヤマナカ</t>
    </rPh>
    <rPh sb="3" eb="5">
      <t>コウジ</t>
    </rPh>
    <phoneticPr fontId="5"/>
  </si>
  <si>
    <t>湯浅</t>
    <rPh sb="0" eb="2">
      <t>ユアサ</t>
    </rPh>
    <phoneticPr fontId="6"/>
  </si>
  <si>
    <t>湯浅　恒男</t>
    <rPh sb="0" eb="2">
      <t>ユアサ</t>
    </rPh>
    <phoneticPr fontId="5"/>
  </si>
  <si>
    <t>横山</t>
    <rPh sb="0" eb="2">
      <t>ヨコヤマ</t>
    </rPh>
    <phoneticPr fontId="6"/>
  </si>
  <si>
    <t>横山　洋　</t>
    <rPh sb="0" eb="2">
      <t>ヨコヤマ</t>
    </rPh>
    <phoneticPr fontId="5"/>
  </si>
  <si>
    <t>吉澤</t>
    <rPh sb="0" eb="2">
      <t>ヨシザワ</t>
    </rPh>
    <phoneticPr fontId="6"/>
  </si>
  <si>
    <t>吉澤　隆</t>
    <rPh sb="0" eb="2">
      <t>ヨシザワ</t>
    </rPh>
    <phoneticPr fontId="5"/>
  </si>
  <si>
    <t>吉田</t>
    <rPh sb="0" eb="2">
      <t>ヨシダ</t>
    </rPh>
    <phoneticPr fontId="6"/>
  </si>
  <si>
    <t>吉田　一雄</t>
    <rPh sb="0" eb="2">
      <t>ヨシダ</t>
    </rPh>
    <phoneticPr fontId="5"/>
  </si>
  <si>
    <t>渡辺昭</t>
    <rPh sb="0" eb="2">
      <t>ワタナベ</t>
    </rPh>
    <rPh sb="2" eb="3">
      <t>ショウ</t>
    </rPh>
    <phoneticPr fontId="6"/>
  </si>
  <si>
    <t>渡辺　昭文</t>
    <rPh sb="0" eb="2">
      <t>ワタナベ</t>
    </rPh>
    <rPh sb="3" eb="5">
      <t>アキフミ</t>
    </rPh>
    <phoneticPr fontId="5"/>
  </si>
  <si>
    <t>渡辺政</t>
    <rPh sb="0" eb="2">
      <t>ワタナベ</t>
    </rPh>
    <rPh sb="2" eb="3">
      <t>マサ</t>
    </rPh>
    <phoneticPr fontId="6"/>
  </si>
  <si>
    <t>渡辺　政明</t>
    <rPh sb="0" eb="2">
      <t>ワタナベ</t>
    </rPh>
    <rPh sb="3" eb="5">
      <t>マサアキ</t>
    </rPh>
    <phoneticPr fontId="6"/>
  </si>
  <si>
    <t>豊島</t>
    <rPh sb="0" eb="2">
      <t>トヨシマ</t>
    </rPh>
    <phoneticPr fontId="6"/>
  </si>
  <si>
    <t>豊島　好美</t>
    <rPh sb="0" eb="2">
      <t>トヨシマ</t>
    </rPh>
    <rPh sb="3" eb="5">
      <t>ヨシミ</t>
    </rPh>
    <phoneticPr fontId="6"/>
  </si>
  <si>
    <t>大橋</t>
    <rPh sb="0" eb="2">
      <t>オオハシ</t>
    </rPh>
    <phoneticPr fontId="6"/>
  </si>
  <si>
    <t>オオハシ　ユタカ</t>
  </si>
  <si>
    <t>小和瀬</t>
    <rPh sb="0" eb="3">
      <t>コワセ</t>
    </rPh>
    <phoneticPr fontId="6"/>
  </si>
  <si>
    <t>コワセ　ヤスアキ</t>
  </si>
  <si>
    <t>大橋</t>
  </si>
  <si>
    <t>小和瀬</t>
  </si>
  <si>
    <t>大橋　豊</t>
    <rPh sb="3" eb="4">
      <t>ユタカ</t>
    </rPh>
    <phoneticPr fontId="6"/>
  </si>
  <si>
    <t>小和瀬　靖明</t>
    <rPh sb="4" eb="6">
      <t>ヤスアキ</t>
    </rPh>
    <phoneticPr fontId="6"/>
  </si>
  <si>
    <t>吉井
南陽台
ＧＣ</t>
    <rPh sb="0" eb="2">
      <t>ヨシイ</t>
    </rPh>
    <rPh sb="3" eb="6">
      <t>ナンヨウダイ</t>
    </rPh>
    <phoneticPr fontId="29"/>
  </si>
  <si>
    <t>緑野
CC</t>
    <rPh sb="0" eb="2">
      <t>ミドリノ</t>
    </rPh>
    <phoneticPr fontId="29"/>
  </si>
  <si>
    <t>桐生
ＣＣ</t>
    <rPh sb="0" eb="2">
      <t>キリュウ</t>
    </rPh>
    <phoneticPr fontId="29"/>
  </si>
  <si>
    <t>上毛
ﾉｰｻﾞﾝ</t>
    <rPh sb="0" eb="2">
      <t>ジョウモウ</t>
    </rPh>
    <phoneticPr fontId="29"/>
  </si>
  <si>
    <t>白水
CC</t>
    <rPh sb="0" eb="2">
      <t>シロミズ</t>
    </rPh>
    <phoneticPr fontId="29"/>
  </si>
  <si>
    <t>富岡
倶楽部</t>
    <rPh sb="0" eb="2">
      <t>トミオカ</t>
    </rPh>
    <rPh sb="3" eb="6">
      <t>クラブ</t>
    </rPh>
    <phoneticPr fontId="29"/>
  </si>
  <si>
    <t>塚越</t>
    <rPh sb="0" eb="2">
      <t>ツカゴシ</t>
    </rPh>
    <phoneticPr fontId="29"/>
  </si>
  <si>
    <t>渡辺政</t>
    <rPh sb="0" eb="2">
      <t>ワタナベ</t>
    </rPh>
    <rPh sb="2" eb="3">
      <t>マサ</t>
    </rPh>
    <phoneticPr fontId="29"/>
  </si>
  <si>
    <t>近藤裕</t>
    <rPh sb="0" eb="2">
      <t>コンドウ</t>
    </rPh>
    <rPh sb="2" eb="3">
      <t>ユウ</t>
    </rPh>
    <phoneticPr fontId="29"/>
  </si>
  <si>
    <t>火</t>
    <rPh sb="0" eb="1">
      <t>ヒ</t>
    </rPh>
    <phoneticPr fontId="29"/>
  </si>
  <si>
    <t>小幡郷
CC</t>
    <rPh sb="0" eb="3">
      <t>オバタゴウ</t>
    </rPh>
    <phoneticPr fontId="29"/>
  </si>
  <si>
    <t>ﾉｰｻﾞﾝ
赤城</t>
    <rPh sb="6" eb="8">
      <t>アカギ</t>
    </rPh>
    <phoneticPr fontId="29"/>
  </si>
  <si>
    <t>富岡
ｶﾝﾄﾘｰ
ｻｳｽ</t>
    <rPh sb="0" eb="2">
      <t>トミオカ</t>
    </rPh>
    <phoneticPr fontId="29"/>
  </si>
  <si>
    <t>小和瀬</t>
    <rPh sb="0" eb="3">
      <t>コワセ</t>
    </rPh>
    <phoneticPr fontId="29"/>
  </si>
  <si>
    <t>村中</t>
    <rPh sb="0" eb="2">
      <t>ムラナカ</t>
    </rPh>
    <phoneticPr fontId="6"/>
  </si>
  <si>
    <t>村中　保夫</t>
    <rPh sb="0" eb="2">
      <t>ムラナカ</t>
    </rPh>
    <rPh sb="3" eb="5">
      <t>ヤスオ</t>
    </rPh>
    <phoneticPr fontId="6"/>
  </si>
  <si>
    <t>ムラナカ　ヤスオ</t>
  </si>
  <si>
    <t>村中</t>
  </si>
  <si>
    <t>奈良</t>
    <rPh sb="0" eb="2">
      <t>ナラ</t>
    </rPh>
    <phoneticPr fontId="6"/>
  </si>
  <si>
    <t>奈良　孝</t>
    <rPh sb="0" eb="2">
      <t>ナラ</t>
    </rPh>
    <rPh sb="3" eb="4">
      <t>タカシ</t>
    </rPh>
    <phoneticPr fontId="6"/>
  </si>
  <si>
    <t>ナラ　タカシ</t>
  </si>
  <si>
    <t>奈良</t>
  </si>
  <si>
    <t>3/11</t>
    <phoneticPr fontId="29"/>
  </si>
  <si>
    <t>3/25</t>
    <phoneticPr fontId="29"/>
  </si>
  <si>
    <t>4/8</t>
    <phoneticPr fontId="29"/>
  </si>
  <si>
    <t>4/22</t>
    <phoneticPr fontId="29"/>
  </si>
  <si>
    <t>5/7</t>
    <phoneticPr fontId="29"/>
  </si>
  <si>
    <t>5/20</t>
    <phoneticPr fontId="29"/>
  </si>
  <si>
    <t>6/3</t>
    <phoneticPr fontId="29"/>
  </si>
  <si>
    <t>6/17</t>
    <phoneticPr fontId="29"/>
  </si>
  <si>
    <t>7/22</t>
    <phoneticPr fontId="29"/>
  </si>
  <si>
    <t>8/26</t>
    <phoneticPr fontId="29"/>
  </si>
  <si>
    <t>9/9</t>
    <phoneticPr fontId="29"/>
  </si>
  <si>
    <t>9/30</t>
    <phoneticPr fontId="29"/>
  </si>
  <si>
    <t>10/8</t>
    <phoneticPr fontId="29"/>
  </si>
  <si>
    <t>10/21</t>
    <phoneticPr fontId="29"/>
  </si>
  <si>
    <t>11/5</t>
    <phoneticPr fontId="29"/>
  </si>
  <si>
    <t>11/18</t>
    <phoneticPr fontId="29"/>
  </si>
  <si>
    <t>12/2</t>
    <phoneticPr fontId="29"/>
  </si>
  <si>
    <t>12/13</t>
    <phoneticPr fontId="29"/>
  </si>
  <si>
    <t>梅ノ郷
GC</t>
    <phoneticPr fontId="1"/>
  </si>
  <si>
    <t>ｸﾞﾘｰﾝ
ﾊﾟｰｸ
ＧＣ</t>
    <phoneticPr fontId="29"/>
  </si>
  <si>
    <t>大平洋
高崎</t>
    <phoneticPr fontId="29"/>
  </si>
  <si>
    <t>ﾍﾞﾙｴｱ</t>
    <phoneticPr fontId="29"/>
  </si>
  <si>
    <t>しぶかわ
CC</t>
    <phoneticPr fontId="29"/>
  </si>
  <si>
    <t>ｻﾝｺｰ
ｶﾝﾄﾘｰ</t>
    <phoneticPr fontId="29"/>
  </si>
  <si>
    <t>5.0？</t>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</si>
</sst>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0_);[Red]\(0\)"/>
    <numFmt numFmtId="178" formatCode="0.0_);[Red]\(0.0\)"/>
    <numFmt numFmtId="179" formatCode="0_ "/>
    <numFmt numFmtId="180" formatCode="h:mm;@"/>
    <numFmt numFmtId="181" formatCode="m&quot;月&quot;d&quot;日&quot;;@"/>
    <numFmt numFmtId="182" formatCode="0.00000_ "/>
    <numFmt numFmtId="183" formatCode="yyyy/m/d;@"/>
  </numFmts>
  <fonts count="88" x14ac:knownFonts="1">
    <font>
      <sz val="11"/>
      <name val="ＭＳ Ｐ明朝"/>
      <family val="1"/>
      <charset val="128"/>
    </font>
    <font>
      <sz val="6"/>
      <name val="ＭＳ Ｐ明朝"/>
      <family val="1"/>
      <charset val="128"/>
    </font>
    <font>
      <sz val="12"/>
      <name val="ＭＳ Ｐ明朝"/>
      <family val="1"/>
      <charset val="128"/>
    </font>
    <font>
      <b/>
      <sz val="14"/>
      <name val="ＭＳ Ｐ明朝"/>
      <family val="1"/>
      <charset val="128"/>
    </font>
    <font>
      <sz val="11"/>
      <color indexed="8"/>
      <name val="ＭＳ Ｐゴシック"/>
      <family val="3"/>
      <charset val="128"/>
    </font>
    <font>
      <sz val="11"/>
      <name val="ＭＳ Ｐ明朝"/>
      <family val="1"/>
      <charset val="128"/>
    </font>
    <font>
      <u/>
      <sz val="11"/>
      <name val="ＭＳ Ｐ明朝"/>
      <family val="1"/>
      <charset val="128"/>
    </font>
    <font>
      <b/>
      <u/>
      <sz val="11"/>
      <name val="ＭＳ Ｐ明朝"/>
      <family val="1"/>
      <charset val="128"/>
    </font>
    <font>
      <u/>
      <sz val="11"/>
      <color indexed="10"/>
      <name val="ＭＳ Ｐ明朝"/>
      <family val="1"/>
      <charset val="128"/>
    </font>
    <font>
      <sz val="6"/>
      <name val="ＭＳ Ｐゴシック"/>
      <family val="3"/>
      <charset val="128"/>
    </font>
    <font>
      <b/>
      <sz val="11"/>
      <name val="ＭＳ Ｐ明朝"/>
      <family val="1"/>
      <charset val="128"/>
    </font>
    <font>
      <sz val="6"/>
      <name val="ＭＳ Ｐ明朝"/>
      <family val="2"/>
      <charset val="128"/>
    </font>
    <font>
      <b/>
      <sz val="12"/>
      <color indexed="10"/>
      <name val="ＭＳ Ｐ明朝"/>
      <family val="1"/>
      <charset val="128"/>
    </font>
    <font>
      <sz val="11"/>
      <name val="ＭＳ Ｐゴシック"/>
      <family val="3"/>
      <charset val="128"/>
      <scheme val="minor"/>
    </font>
    <font>
      <sz val="12"/>
      <color rgb="FF000000"/>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sz val="8"/>
      <name val="ＭＳ Ｐゴシック"/>
      <family val="3"/>
      <charset val="128"/>
      <scheme val="minor"/>
    </font>
    <font>
      <b/>
      <sz val="14"/>
      <name val="ＭＳ Ｐゴシック"/>
      <family val="3"/>
      <charset val="128"/>
      <scheme val="minor"/>
    </font>
    <font>
      <b/>
      <u/>
      <sz val="12"/>
      <name val="ＭＳ Ｐゴシック"/>
      <family val="3"/>
      <charset val="128"/>
      <scheme val="minor"/>
    </font>
    <font>
      <sz val="11"/>
      <color rgb="FFFF0000"/>
      <name val="ＭＳ Ｐゴシック"/>
      <family val="3"/>
      <charset val="128"/>
      <scheme val="minor"/>
    </font>
    <font>
      <sz val="12"/>
      <name val="ＭＳ Ｐゴシック"/>
      <family val="3"/>
      <charset val="128"/>
      <scheme val="minor"/>
    </font>
    <font>
      <b/>
      <sz val="12"/>
      <color rgb="FF0070C0"/>
      <name val="ＭＳ Ｐゴシック"/>
      <family val="3"/>
      <charset val="128"/>
      <scheme val="minor"/>
    </font>
    <font>
      <sz val="14"/>
      <name val="ＭＳ Ｐゴシック"/>
      <family val="3"/>
      <charset val="128"/>
      <scheme val="minor"/>
    </font>
    <font>
      <sz val="11"/>
      <color indexed="8"/>
      <name val="ＭＳ Ｐゴシック"/>
      <family val="3"/>
      <charset val="128"/>
      <scheme val="minor"/>
    </font>
    <font>
      <b/>
      <sz val="12"/>
      <color indexed="8"/>
      <name val="ＭＳ Ｐゴシック"/>
      <family val="3"/>
      <charset val="128"/>
      <scheme val="minor"/>
    </font>
    <font>
      <b/>
      <sz val="10"/>
      <name val="ＭＳ Ｐゴシック"/>
      <family val="3"/>
      <charset val="128"/>
      <scheme val="minor"/>
    </font>
    <font>
      <sz val="6"/>
      <name val="ＭＳ Ｐゴシック"/>
      <family val="3"/>
      <charset val="128"/>
      <scheme val="minor"/>
    </font>
    <font>
      <sz val="10"/>
      <name val="ＭＳ Ｐゴシック"/>
      <family val="3"/>
      <charset val="128"/>
    </font>
    <font>
      <b/>
      <sz val="11"/>
      <color rgb="FF0070C0"/>
      <name val="ＭＳ Ｐ明朝"/>
      <family val="1"/>
      <charset val="128"/>
    </font>
    <font>
      <b/>
      <sz val="11"/>
      <color rgb="FF0070C0"/>
      <name val="ＭＳ Ｐゴシック"/>
      <family val="3"/>
      <charset val="128"/>
      <scheme val="minor"/>
    </font>
    <font>
      <sz val="12"/>
      <name val="ＭＳ Ｐゴシック"/>
      <family val="3"/>
      <charset val="128"/>
    </font>
    <font>
      <sz val="11"/>
      <name val="ＭＳ Ｐゴシック"/>
      <family val="3"/>
      <charset val="128"/>
    </font>
    <font>
      <sz val="9"/>
      <name val="ＭＳ Ｐゴシック"/>
      <family val="3"/>
      <charset val="128"/>
    </font>
    <font>
      <u/>
      <sz val="11"/>
      <name val="ＭＳ Ｐゴシック"/>
      <family val="3"/>
      <charset val="128"/>
      <scheme val="minor"/>
    </font>
    <font>
      <b/>
      <sz val="11"/>
      <color rgb="FFFF0000"/>
      <name val="ＭＳ Ｐゴシック"/>
      <family val="3"/>
      <charset val="128"/>
      <scheme val="minor"/>
    </font>
    <font>
      <sz val="9"/>
      <color rgb="FFFF0000"/>
      <name val="ＭＳ Ｐゴシック"/>
      <family val="3"/>
      <charset val="128"/>
      <scheme val="minor"/>
    </font>
    <font>
      <sz val="11"/>
      <color rgb="FFFF0000"/>
      <name val="ＭＳ Ｐ明朝"/>
      <family val="1"/>
      <charset val="128"/>
    </font>
    <font>
      <sz val="9"/>
      <color rgb="FFFF0000"/>
      <name val="ＭＳ Ｐ明朝"/>
      <family val="1"/>
      <charset val="128"/>
    </font>
    <font>
      <b/>
      <sz val="11"/>
      <color rgb="FFFF0000"/>
      <name val="ＭＳ Ｐ明朝"/>
      <family val="1"/>
      <charset val="128"/>
    </font>
    <font>
      <sz val="11"/>
      <color theme="0" tint="-0.34998626667073579"/>
      <name val="ＭＳ Ｐゴシック"/>
      <family val="3"/>
      <charset val="128"/>
      <scheme val="minor"/>
    </font>
    <font>
      <sz val="11"/>
      <color rgb="FF0070C0"/>
      <name val="ＭＳ Ｐゴシック"/>
      <family val="3"/>
      <charset val="128"/>
      <scheme val="minor"/>
    </font>
    <font>
      <sz val="8"/>
      <color rgb="FFFF0000"/>
      <name val="ＭＳ Ｐ明朝"/>
      <family val="1"/>
      <charset val="128"/>
    </font>
    <font>
      <sz val="8"/>
      <color rgb="FFFF0000"/>
      <name val="ＭＳ Ｐゴシック"/>
      <family val="3"/>
      <charset val="128"/>
      <scheme val="minor"/>
    </font>
    <font>
      <sz val="11"/>
      <color rgb="FF00B050"/>
      <name val="ＭＳ Ｐゴシック"/>
      <family val="3"/>
      <charset val="128"/>
      <scheme val="minor"/>
    </font>
    <font>
      <sz val="10"/>
      <color rgb="FF00B050"/>
      <name val="ＭＳ Ｐゴシック"/>
      <family val="3"/>
      <charset val="128"/>
      <scheme val="minor"/>
    </font>
    <font>
      <b/>
      <sz val="11"/>
      <color rgb="FFFF0000"/>
      <name val="ＭＳ Ｐゴシック"/>
      <family val="3"/>
      <charset val="128"/>
    </font>
    <font>
      <sz val="9"/>
      <name val="ＭＳ Ｐ明朝"/>
      <family val="1"/>
      <charset val="128"/>
    </font>
    <font>
      <sz val="10"/>
      <color rgb="FFFF0000"/>
      <name val="ＭＳ Ｐ明朝"/>
      <family val="1"/>
      <charset val="128"/>
    </font>
    <font>
      <u/>
      <sz val="11"/>
      <color rgb="FFFF0000"/>
      <name val="ＭＳ Ｐ明朝"/>
      <family val="1"/>
      <charset val="128"/>
    </font>
    <font>
      <b/>
      <sz val="12"/>
      <color rgb="FFFF0000"/>
      <name val="ＭＳ Ｐゴシック"/>
      <family val="3"/>
      <charset val="128"/>
      <scheme val="minor"/>
    </font>
    <font>
      <sz val="10"/>
      <color rgb="FFFF0000"/>
      <name val="ＭＳ Ｐゴシック"/>
      <family val="3"/>
      <charset val="128"/>
      <scheme val="minor"/>
    </font>
    <font>
      <sz val="10"/>
      <name val="ＭＳ Ｐ明朝"/>
      <family val="1"/>
      <charset val="128"/>
    </font>
    <font>
      <b/>
      <u/>
      <sz val="11"/>
      <name val="ＭＳ Ｐゴシック"/>
      <family val="3"/>
      <charset val="128"/>
      <scheme val="minor"/>
    </font>
    <font>
      <b/>
      <u/>
      <sz val="12"/>
      <name val="ＭＳ Ｐ明朝"/>
      <family val="1"/>
      <charset val="128"/>
    </font>
    <font>
      <b/>
      <sz val="8"/>
      <color rgb="FFFF0000"/>
      <name val="ＭＳ Ｐゴシック"/>
      <family val="3"/>
      <charset val="128"/>
      <scheme val="minor"/>
    </font>
    <font>
      <b/>
      <sz val="14"/>
      <color theme="9" tint="-0.249977111117893"/>
      <name val="ＭＳ Ｐゴシック"/>
      <family val="3"/>
      <charset val="128"/>
      <scheme val="minor"/>
    </font>
    <font>
      <sz val="10"/>
      <color rgb="FF000000"/>
      <name val="ＭＳ Ｐゴシック"/>
      <family val="3"/>
      <charset val="128"/>
    </font>
    <font>
      <sz val="10"/>
      <color rgb="FF000000"/>
      <name val="Calibri"/>
      <family val="2"/>
    </font>
    <font>
      <b/>
      <sz val="10"/>
      <color rgb="FF0070C0"/>
      <name val="ＭＳ Ｐゴシック"/>
      <family val="3"/>
      <charset val="128"/>
      <scheme val="minor"/>
    </font>
    <font>
      <sz val="11"/>
      <color rgb="FF000000"/>
      <name val="ＭＳ Ｐゴシック"/>
      <family val="3"/>
      <charset val="128"/>
    </font>
    <font>
      <sz val="8"/>
      <color rgb="FF00B050"/>
      <name val="ＭＳ Ｐゴシック"/>
      <family val="3"/>
      <charset val="128"/>
      <scheme val="minor"/>
    </font>
    <font>
      <b/>
      <sz val="10"/>
      <color rgb="FF000000"/>
      <name val="ＭＳ Ｐゴシック"/>
      <family val="3"/>
      <charset val="128"/>
    </font>
    <font>
      <b/>
      <u/>
      <sz val="14"/>
      <name val="ＭＳ Ｐゴシック"/>
      <family val="3"/>
      <charset val="128"/>
      <scheme val="minor"/>
    </font>
    <font>
      <b/>
      <sz val="10"/>
      <color rgb="FFFF0000"/>
      <name val="ＭＳ Ｐゴシック"/>
      <family val="3"/>
      <charset val="128"/>
      <scheme val="minor"/>
    </font>
    <font>
      <u/>
      <sz val="10"/>
      <name val="ＭＳ Ｐゴシック"/>
      <family val="3"/>
      <charset val="128"/>
      <scheme val="minor"/>
    </font>
    <font>
      <b/>
      <sz val="16"/>
      <name val="ＭＳ Ｐゴシック"/>
      <family val="3"/>
      <charset val="128"/>
      <scheme val="minor"/>
    </font>
    <font>
      <sz val="20"/>
      <color rgb="FFFF0000"/>
      <name val="ＭＳ Ｐゴシック"/>
      <family val="3"/>
      <charset val="128"/>
      <scheme val="minor"/>
    </font>
    <font>
      <b/>
      <sz val="9"/>
      <color rgb="FFFF0000"/>
      <name val="ＭＳ Ｐ明朝"/>
      <family val="1"/>
      <charset val="128"/>
    </font>
    <font>
      <sz val="8"/>
      <name val="ＭＳ Ｐ明朝"/>
      <family val="1"/>
      <charset val="128"/>
    </font>
    <font>
      <b/>
      <sz val="12"/>
      <color theme="1"/>
      <name val="ＭＳ Ｐゴシック"/>
      <family val="3"/>
      <charset val="128"/>
      <scheme val="minor"/>
    </font>
    <font>
      <sz val="6"/>
      <name val="ＭＳ Ｐゴシック"/>
      <family val="2"/>
      <charset val="128"/>
      <scheme val="minor"/>
    </font>
    <font>
      <sz val="9"/>
      <color theme="1"/>
      <name val="ＭＳ Ｐゴシック"/>
      <family val="2"/>
      <charset val="128"/>
      <scheme val="minor"/>
    </font>
    <font>
      <b/>
      <sz val="14"/>
      <color rgb="FFFF0000"/>
      <name val="ＭＳ Ｐゴシック"/>
      <family val="3"/>
      <charset val="128"/>
      <scheme val="minor"/>
    </font>
    <font>
      <b/>
      <sz val="14"/>
      <color rgb="FFFF0000"/>
      <name val="ＭＳ Ｐ明朝"/>
      <family val="1"/>
      <charset val="128"/>
    </font>
    <font>
      <sz val="11"/>
      <color theme="1"/>
      <name val="ＭＳ Ｐ明朝"/>
      <family val="1"/>
      <charset val="128"/>
    </font>
    <font>
      <b/>
      <sz val="12"/>
      <name val="ＭＳ Ｐゴシック"/>
      <family val="3"/>
      <charset val="128"/>
    </font>
    <font>
      <sz val="12"/>
      <color indexed="8"/>
      <name val="ＭＳ Ｐゴシック"/>
      <family val="3"/>
      <charset val="128"/>
      <scheme val="minor"/>
    </font>
    <font>
      <b/>
      <sz val="11"/>
      <color theme="8" tint="-0.249977111117893"/>
      <name val="ＭＳ Ｐゴシック"/>
      <family val="3"/>
      <charset val="128"/>
    </font>
    <font>
      <sz val="11"/>
      <color rgb="FF363636"/>
      <name val="ＭＳ Ｐゴシック"/>
      <family val="3"/>
      <charset val="128"/>
    </font>
    <font>
      <b/>
      <sz val="11"/>
      <name val="ＭＳ Ｐゴシック"/>
      <family val="3"/>
      <charset val="128"/>
    </font>
    <font>
      <b/>
      <u/>
      <sz val="14"/>
      <color rgb="FFFF0000"/>
      <name val="ＭＳ Ｐゴシック"/>
      <family val="3"/>
      <charset val="128"/>
      <scheme val="minor"/>
    </font>
    <font>
      <sz val="18"/>
      <color rgb="FFFF0000"/>
      <name val="ＭＳ Ｐ明朝"/>
      <family val="1"/>
      <charset val="128"/>
    </font>
    <font>
      <sz val="24"/>
      <color rgb="FFFF0000"/>
      <name val="ＭＳ Ｐ明朝"/>
      <family val="1"/>
      <charset val="128"/>
    </font>
    <font>
      <b/>
      <sz val="12"/>
      <color theme="3" tint="0.39997558519241921"/>
      <name val="ＭＳ Ｐ明朝"/>
      <family val="1"/>
      <charset val="128"/>
    </font>
    <font>
      <b/>
      <sz val="11"/>
      <color theme="3" tint="0.39997558519241921"/>
      <name val="ＭＳ Ｐゴシック"/>
      <family val="3"/>
      <charset val="128"/>
      <scheme val="minor"/>
    </font>
  </fonts>
  <fills count="29">
    <fill>
      <patternFill patternType="none"/>
    </fill>
    <fill>
      <patternFill patternType="gray125"/>
    </fill>
    <fill>
      <patternFill patternType="solid">
        <fgColor rgb="FFFFFFCC"/>
        <bgColor indexed="64"/>
      </patternFill>
    </fill>
    <fill>
      <patternFill patternType="solid">
        <fgColor indexed="9"/>
        <bgColor indexed="64"/>
      </patternFill>
    </fill>
    <fill>
      <patternFill patternType="solid">
        <fgColor indexed="27"/>
        <bgColor indexed="64"/>
      </patternFill>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00B0F0"/>
        <bgColor indexed="64"/>
      </patternFill>
    </fill>
    <fill>
      <patternFill patternType="solid">
        <fgColor theme="5" tint="0.79998168889431442"/>
        <bgColor indexed="64"/>
      </patternFill>
    </fill>
    <fill>
      <patternFill patternType="solid">
        <fgColor rgb="FFFFFF99"/>
        <bgColor indexed="64"/>
      </patternFill>
    </fill>
    <fill>
      <patternFill patternType="solid">
        <fgColor theme="9"/>
        <bgColor indexed="64"/>
      </patternFill>
    </fill>
    <fill>
      <patternFill patternType="solid">
        <fgColor theme="6" tint="0.39997558519241921"/>
        <bgColor indexed="64"/>
      </patternFill>
    </fill>
    <fill>
      <patternFill patternType="solid">
        <fgColor rgb="FFCCECFF"/>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theme="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EAEAEA"/>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0000"/>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rgb="FFB9EDBE"/>
        <bgColor indexed="64"/>
      </patternFill>
    </fill>
    <fill>
      <patternFill patternType="solid">
        <fgColor indexed="26"/>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double">
        <color indexed="64"/>
      </bottom>
      <diagonal/>
    </border>
    <border>
      <left/>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style="thin">
        <color indexed="64"/>
      </right>
      <top style="medium">
        <color indexed="64"/>
      </top>
      <bottom style="dotted">
        <color indexed="64"/>
      </bottom>
      <diagonal/>
    </border>
    <border>
      <left style="medium">
        <color indexed="64"/>
      </left>
      <right style="thin">
        <color indexed="64"/>
      </right>
      <top style="double">
        <color indexed="64"/>
      </top>
      <bottom style="double">
        <color indexed="64"/>
      </bottom>
      <diagonal/>
    </border>
    <border>
      <left style="medium">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medium">
        <color indexed="64"/>
      </top>
      <bottom style="dotted">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bottom style="medium">
        <color indexed="64"/>
      </bottom>
      <diagonal/>
    </border>
    <border>
      <left style="medium">
        <color indexed="64"/>
      </left>
      <right style="hair">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top style="thin">
        <color indexed="64"/>
      </top>
      <bottom style="double">
        <color indexed="64"/>
      </bottom>
      <diagonal/>
    </border>
    <border>
      <left style="medium">
        <color indexed="64"/>
      </left>
      <right style="hair">
        <color indexed="64"/>
      </right>
      <top/>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thin">
        <color indexed="64"/>
      </top>
      <bottom/>
      <diagonal/>
    </border>
    <border>
      <left style="medium">
        <color indexed="64"/>
      </left>
      <right style="hair">
        <color indexed="64"/>
      </right>
      <top style="thin">
        <color indexed="64"/>
      </top>
      <bottom/>
      <diagonal/>
    </border>
    <border>
      <left style="thin">
        <color indexed="64"/>
      </left>
      <right style="medium">
        <color indexed="64"/>
      </right>
      <top style="medium">
        <color indexed="64"/>
      </top>
      <bottom/>
      <diagonal/>
    </border>
    <border>
      <left style="thin">
        <color indexed="64"/>
      </left>
      <right style="double">
        <color indexed="64"/>
      </right>
      <top style="thin">
        <color indexed="64"/>
      </top>
      <bottom style="thin">
        <color auto="1"/>
      </bottom>
      <diagonal/>
    </border>
    <border>
      <left/>
      <right/>
      <top style="thin">
        <color indexed="64"/>
      </top>
      <bottom style="double">
        <color indexed="64"/>
      </bottom>
      <diagonal/>
    </border>
    <border>
      <left style="thin">
        <color indexed="64"/>
      </left>
      <right style="double">
        <color indexed="64"/>
      </right>
      <top/>
      <bottom style="thin">
        <color indexed="64"/>
      </bottom>
      <diagonal/>
    </border>
    <border>
      <left style="thin">
        <color theme="1"/>
      </left>
      <right style="thin">
        <color theme="1"/>
      </right>
      <top style="medium">
        <color theme="1"/>
      </top>
      <bottom/>
      <diagonal/>
    </border>
    <border>
      <left/>
      <right style="thin">
        <color auto="1"/>
      </right>
      <top style="medium">
        <color auto="1"/>
      </top>
      <bottom/>
      <diagonal/>
    </border>
  </borders>
  <cellStyleXfs count="5">
    <xf numFmtId="0" fontId="0" fillId="0" borderId="0">
      <alignment vertical="center"/>
    </xf>
    <xf numFmtId="9" fontId="5" fillId="0" borderId="0" applyFont="0" applyFill="0" applyBorder="0" applyAlignment="0" applyProtection="0">
      <alignment vertical="center"/>
    </xf>
    <xf numFmtId="0" fontId="4" fillId="0" borderId="0" applyProtection="0">
      <alignment vertical="center"/>
    </xf>
    <xf numFmtId="0" fontId="77" fillId="0" borderId="0">
      <alignment vertical="center"/>
    </xf>
    <xf numFmtId="0" fontId="4" fillId="0" borderId="0">
      <alignment vertical="center"/>
    </xf>
  </cellStyleXfs>
  <cellXfs count="832">
    <xf numFmtId="0" fontId="0" fillId="0" borderId="0" xfId="0">
      <alignment vertical="center"/>
    </xf>
    <xf numFmtId="0" fontId="2" fillId="0" borderId="0" xfId="0" applyFont="1" applyAlignment="1">
      <alignment horizontal="right" vertical="center"/>
    </xf>
    <xf numFmtId="0" fontId="0" fillId="3" borderId="0" xfId="0" applyFill="1" applyAlignment="1">
      <alignment horizontal="right" vertical="center"/>
    </xf>
    <xf numFmtId="0" fontId="0" fillId="3" borderId="0" xfId="0" applyFill="1">
      <alignment vertical="center"/>
    </xf>
    <xf numFmtId="0" fontId="3" fillId="3" borderId="0" xfId="0" applyFont="1" applyFill="1">
      <alignment vertical="center"/>
    </xf>
    <xf numFmtId="0" fontId="3" fillId="3" borderId="0" xfId="0" applyFont="1" applyFill="1" applyAlignment="1">
      <alignment horizontal="right" vertical="center"/>
    </xf>
    <xf numFmtId="0" fontId="3" fillId="0" borderId="0" xfId="0" applyFont="1">
      <alignment vertical="center"/>
    </xf>
    <xf numFmtId="0" fontId="3" fillId="0" borderId="0" xfId="0" applyFont="1" applyAlignment="1">
      <alignment horizontal="right" vertical="center"/>
    </xf>
    <xf numFmtId="176" fontId="0" fillId="3" borderId="0" xfId="0" applyNumberFormat="1" applyFill="1">
      <alignment vertical="center"/>
    </xf>
    <xf numFmtId="0" fontId="6" fillId="3" borderId="0" xfId="0" applyFont="1" applyFill="1">
      <alignment vertical="center"/>
    </xf>
    <xf numFmtId="0" fontId="8" fillId="3" borderId="0" xfId="0" applyFont="1" applyFill="1">
      <alignment vertical="center"/>
    </xf>
    <xf numFmtId="0" fontId="6" fillId="3" borderId="0" xfId="0" applyFont="1" applyFill="1" applyAlignment="1">
      <alignment horizontal="right" vertical="center"/>
    </xf>
    <xf numFmtId="0" fontId="7" fillId="3" borderId="0" xfId="0" applyFont="1" applyFill="1">
      <alignment vertical="center"/>
    </xf>
    <xf numFmtId="0" fontId="0" fillId="0" borderId="0" xfId="0" applyAlignment="1">
      <alignment horizontal="right" vertical="center"/>
    </xf>
    <xf numFmtId="0" fontId="0" fillId="0" borderId="0" xfId="0" quotePrefix="1" applyAlignment="1">
      <alignment horizontal="right" vertical="center"/>
    </xf>
    <xf numFmtId="176" fontId="0" fillId="0" borderId="0" xfId="0" applyNumberFormat="1">
      <alignment vertical="center"/>
    </xf>
    <xf numFmtId="0" fontId="12" fillId="0" borderId="0" xfId="0" applyFont="1">
      <alignment vertical="center"/>
    </xf>
    <xf numFmtId="177" fontId="0" fillId="0" borderId="0" xfId="0" applyNumberFormat="1">
      <alignment vertical="center"/>
    </xf>
    <xf numFmtId="0" fontId="0" fillId="0" borderId="0" xfId="0" applyAlignment="1" applyProtection="1">
      <alignment horizontal="center" vertical="center"/>
      <protection locked="0"/>
    </xf>
    <xf numFmtId="181" fontId="0" fillId="0" borderId="0" xfId="0" applyNumberFormat="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lignment horizontal="center" vertical="center"/>
    </xf>
    <xf numFmtId="0" fontId="13" fillId="0" borderId="0" xfId="0" applyFont="1">
      <alignment vertical="center"/>
    </xf>
    <xf numFmtId="0" fontId="0" fillId="0" borderId="0" xfId="0" applyProtection="1">
      <alignment vertical="center"/>
      <protection locked="0"/>
    </xf>
    <xf numFmtId="0" fontId="10" fillId="0" borderId="0" xfId="0" applyFont="1">
      <alignment vertical="center"/>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13" fillId="0" borderId="47" xfId="0" applyFont="1" applyBorder="1">
      <alignment vertical="center"/>
    </xf>
    <xf numFmtId="0" fontId="13" fillId="0" borderId="46" xfId="0" applyFont="1" applyBorder="1">
      <alignment vertical="center"/>
    </xf>
    <xf numFmtId="0" fontId="13" fillId="4" borderId="17" xfId="0" applyFont="1" applyFill="1" applyBorder="1">
      <alignment vertical="center"/>
    </xf>
    <xf numFmtId="0" fontId="13" fillId="4" borderId="11" xfId="0" applyFont="1" applyFill="1" applyBorder="1">
      <alignment vertical="center"/>
    </xf>
    <xf numFmtId="0" fontId="13" fillId="4" borderId="27" xfId="0" applyFont="1" applyFill="1" applyBorder="1">
      <alignment vertical="center"/>
    </xf>
    <xf numFmtId="0" fontId="13" fillId="4" borderId="31" xfId="0" applyFont="1" applyFill="1" applyBorder="1">
      <alignment vertical="center"/>
    </xf>
    <xf numFmtId="0" fontId="13" fillId="4" borderId="14" xfId="0" applyFont="1" applyFill="1" applyBorder="1">
      <alignment vertical="center"/>
    </xf>
    <xf numFmtId="56" fontId="26" fillId="3" borderId="0" xfId="2" applyNumberFormat="1" applyFont="1" applyFill="1" applyAlignment="1" applyProtection="1">
      <alignment horizontal="right" vertical="center"/>
    </xf>
    <xf numFmtId="0" fontId="13" fillId="3" borderId="0" xfId="0" applyFont="1" applyFill="1" applyAlignment="1">
      <alignment horizontal="center" vertical="center"/>
    </xf>
    <xf numFmtId="0" fontId="13" fillId="4" borderId="0" xfId="0" applyFont="1" applyFill="1">
      <alignment vertical="center"/>
    </xf>
    <xf numFmtId="0" fontId="13" fillId="4" borderId="25" xfId="0" applyFont="1" applyFill="1" applyBorder="1" applyAlignment="1">
      <alignment horizontal="right" vertical="center"/>
    </xf>
    <xf numFmtId="0" fontId="13" fillId="3" borderId="0" xfId="0" applyFont="1" applyFill="1" applyAlignment="1">
      <alignment horizontal="right" vertical="center"/>
    </xf>
    <xf numFmtId="0" fontId="13" fillId="3" borderId="0" xfId="0" applyFont="1" applyFill="1">
      <alignment vertical="center"/>
    </xf>
    <xf numFmtId="0" fontId="26" fillId="3" borderId="0" xfId="2" applyFont="1" applyFill="1" applyAlignment="1" applyProtection="1">
      <alignment horizontal="left" vertical="center"/>
    </xf>
    <xf numFmtId="0" fontId="13" fillId="4" borderId="22" xfId="0" applyFont="1" applyFill="1" applyBorder="1" applyAlignment="1">
      <alignment horizontal="center" vertical="center"/>
    </xf>
    <xf numFmtId="177" fontId="16" fillId="4" borderId="30" xfId="0" applyNumberFormat="1" applyFont="1" applyFill="1" applyBorder="1">
      <alignment vertical="center"/>
    </xf>
    <xf numFmtId="0" fontId="13" fillId="3" borderId="0" xfId="0" applyFont="1" applyFill="1" applyAlignment="1">
      <alignment horizontal="left" vertical="center"/>
    </xf>
    <xf numFmtId="0" fontId="13" fillId="4" borderId="34" xfId="0" applyFont="1" applyFill="1" applyBorder="1">
      <alignment vertical="center"/>
    </xf>
    <xf numFmtId="0" fontId="13" fillId="4" borderId="15" xfId="0" applyFont="1" applyFill="1" applyBorder="1">
      <alignment vertical="center"/>
    </xf>
    <xf numFmtId="0" fontId="13" fillId="4" borderId="35" xfId="0" applyFont="1" applyFill="1" applyBorder="1" applyAlignment="1">
      <alignment horizontal="right" vertical="center"/>
    </xf>
    <xf numFmtId="178" fontId="13" fillId="4" borderId="37" xfId="0" applyNumberFormat="1" applyFont="1" applyFill="1" applyBorder="1" applyAlignment="1">
      <alignment horizontal="center" vertical="center"/>
    </xf>
    <xf numFmtId="0" fontId="26" fillId="4" borderId="38" xfId="2" applyFont="1" applyFill="1" applyBorder="1" applyAlignment="1" applyProtection="1">
      <alignment horizontal="center" vertical="center"/>
    </xf>
    <xf numFmtId="0" fontId="13" fillId="4" borderId="4" xfId="0" applyFont="1" applyFill="1" applyBorder="1" applyAlignment="1">
      <alignment horizontal="center" vertical="center"/>
    </xf>
    <xf numFmtId="0" fontId="13" fillId="4" borderId="5" xfId="0" applyFont="1" applyFill="1" applyBorder="1">
      <alignment vertical="center"/>
    </xf>
    <xf numFmtId="0" fontId="13" fillId="4" borderId="5" xfId="0" applyFont="1" applyFill="1" applyBorder="1" applyAlignment="1">
      <alignment horizontal="right" vertical="center" shrinkToFit="1"/>
    </xf>
    <xf numFmtId="178" fontId="13" fillId="4" borderId="55" xfId="0" applyNumberFormat="1" applyFont="1" applyFill="1" applyBorder="1" applyAlignment="1">
      <alignment horizontal="right" vertical="center"/>
    </xf>
    <xf numFmtId="177" fontId="13" fillId="4" borderId="24" xfId="0" applyNumberFormat="1" applyFont="1" applyFill="1" applyBorder="1">
      <alignment vertical="center"/>
    </xf>
    <xf numFmtId="177" fontId="13" fillId="4" borderId="24" xfId="0" applyNumberFormat="1" applyFont="1" applyFill="1" applyBorder="1" applyAlignment="1">
      <alignment horizontal="right" vertical="center"/>
    </xf>
    <xf numFmtId="177" fontId="13" fillId="4" borderId="31" xfId="0" applyNumberFormat="1" applyFont="1" applyFill="1" applyBorder="1" applyAlignment="1">
      <alignment horizontal="right" vertical="center"/>
    </xf>
    <xf numFmtId="177" fontId="13" fillId="4" borderId="3" xfId="0" applyNumberFormat="1" applyFont="1" applyFill="1" applyBorder="1">
      <alignment vertical="center"/>
    </xf>
    <xf numFmtId="177" fontId="13" fillId="4" borderId="13" xfId="0" applyNumberFormat="1" applyFont="1" applyFill="1" applyBorder="1">
      <alignment vertical="center"/>
    </xf>
    <xf numFmtId="177" fontId="13" fillId="4" borderId="43" xfId="0" applyNumberFormat="1" applyFont="1" applyFill="1" applyBorder="1">
      <alignment vertical="center"/>
    </xf>
    <xf numFmtId="177" fontId="13" fillId="4" borderId="5" xfId="0" applyNumberFormat="1" applyFont="1" applyFill="1" applyBorder="1">
      <alignment vertical="center"/>
    </xf>
    <xf numFmtId="178" fontId="13" fillId="4" borderId="5" xfId="0" applyNumberFormat="1" applyFont="1" applyFill="1" applyBorder="1">
      <alignment vertical="center"/>
    </xf>
    <xf numFmtId="178" fontId="13" fillId="4" borderId="6" xfId="0" applyNumberFormat="1" applyFont="1" applyFill="1" applyBorder="1" applyAlignment="1">
      <alignment horizontal="right" vertical="center"/>
    </xf>
    <xf numFmtId="177" fontId="13" fillId="4" borderId="19" xfId="0" applyNumberFormat="1" applyFont="1" applyFill="1" applyBorder="1">
      <alignment vertical="center"/>
    </xf>
    <xf numFmtId="177" fontId="13" fillId="4" borderId="8" xfId="0" applyNumberFormat="1" applyFont="1" applyFill="1" applyBorder="1">
      <alignment vertical="center"/>
    </xf>
    <xf numFmtId="177" fontId="13" fillId="4" borderId="39" xfId="0" applyNumberFormat="1" applyFont="1" applyFill="1" applyBorder="1">
      <alignment vertical="center"/>
    </xf>
    <xf numFmtId="178" fontId="13" fillId="4" borderId="2" xfId="0" applyNumberFormat="1" applyFont="1" applyFill="1" applyBorder="1">
      <alignment vertical="center"/>
    </xf>
    <xf numFmtId="178" fontId="13" fillId="4" borderId="1" xfId="0" applyNumberFormat="1" applyFont="1" applyFill="1" applyBorder="1">
      <alignment vertical="center"/>
    </xf>
    <xf numFmtId="178" fontId="13" fillId="4" borderId="50" xfId="0" applyNumberFormat="1" applyFont="1" applyFill="1" applyBorder="1">
      <alignment vertical="center"/>
    </xf>
    <xf numFmtId="177" fontId="13" fillId="4" borderId="1" xfId="0" applyNumberFormat="1" applyFont="1" applyFill="1" applyBorder="1">
      <alignment vertical="center"/>
    </xf>
    <xf numFmtId="177" fontId="13" fillId="4" borderId="50" xfId="0" applyNumberFormat="1" applyFont="1" applyFill="1" applyBorder="1">
      <alignment vertical="center"/>
    </xf>
    <xf numFmtId="177" fontId="13" fillId="4" borderId="28" xfId="0" applyNumberFormat="1" applyFont="1" applyFill="1" applyBorder="1">
      <alignment vertical="center"/>
    </xf>
    <xf numFmtId="177" fontId="13" fillId="4" borderId="25" xfId="0" applyNumberFormat="1" applyFont="1" applyFill="1" applyBorder="1">
      <alignment vertical="center"/>
    </xf>
    <xf numFmtId="0" fontId="13" fillId="4" borderId="55" xfId="0" applyFont="1" applyFill="1" applyBorder="1">
      <alignment vertical="center"/>
    </xf>
    <xf numFmtId="9" fontId="13" fillId="4" borderId="24" xfId="1" applyFont="1" applyFill="1" applyBorder="1" applyAlignment="1" applyProtection="1">
      <alignment vertical="center"/>
    </xf>
    <xf numFmtId="9" fontId="13" fillId="4" borderId="56" xfId="1" applyFont="1" applyFill="1" applyBorder="1" applyAlignment="1" applyProtection="1">
      <alignment vertical="center"/>
    </xf>
    <xf numFmtId="0" fontId="13" fillId="4" borderId="2" xfId="0" applyFont="1" applyFill="1" applyBorder="1">
      <alignment vertical="center"/>
    </xf>
    <xf numFmtId="9" fontId="13" fillId="4" borderId="1" xfId="1" applyFont="1" applyFill="1" applyBorder="1" applyAlignment="1" applyProtection="1">
      <alignment vertical="center"/>
    </xf>
    <xf numFmtId="9" fontId="13" fillId="4" borderId="50" xfId="1" applyFont="1" applyFill="1" applyBorder="1" applyAlignment="1" applyProtection="1">
      <alignment vertical="center"/>
    </xf>
    <xf numFmtId="0" fontId="13" fillId="4" borderId="42" xfId="0" applyFont="1" applyFill="1" applyBorder="1">
      <alignment vertical="center"/>
    </xf>
    <xf numFmtId="9" fontId="13" fillId="4" borderId="13" xfId="1" applyFont="1" applyFill="1" applyBorder="1" applyAlignment="1" applyProtection="1">
      <alignment vertical="center"/>
    </xf>
    <xf numFmtId="9" fontId="13" fillId="4" borderId="58" xfId="1" applyFont="1" applyFill="1" applyBorder="1" applyAlignment="1" applyProtection="1">
      <alignment vertical="center"/>
    </xf>
    <xf numFmtId="0" fontId="13" fillId="4" borderId="44" xfId="0" applyFont="1" applyFill="1" applyBorder="1">
      <alignment vertical="center"/>
    </xf>
    <xf numFmtId="0" fontId="13" fillId="4" borderId="48" xfId="0" applyFont="1" applyFill="1" applyBorder="1">
      <alignment vertical="center"/>
    </xf>
    <xf numFmtId="0" fontId="13" fillId="4" borderId="39" xfId="0" applyFont="1" applyFill="1" applyBorder="1">
      <alignment vertical="center"/>
    </xf>
    <xf numFmtId="0" fontId="13" fillId="4" borderId="49" xfId="0" applyFont="1" applyFill="1" applyBorder="1">
      <alignment vertical="center"/>
    </xf>
    <xf numFmtId="0" fontId="13" fillId="4" borderId="50" xfId="0" applyFont="1" applyFill="1" applyBorder="1">
      <alignment vertical="center"/>
    </xf>
    <xf numFmtId="0" fontId="13" fillId="4" borderId="51" xfId="0" applyFont="1" applyFill="1" applyBorder="1">
      <alignment vertical="center"/>
    </xf>
    <xf numFmtId="0" fontId="13" fillId="4" borderId="25" xfId="0" applyFont="1" applyFill="1" applyBorder="1">
      <alignment vertical="center"/>
    </xf>
    <xf numFmtId="0" fontId="18" fillId="4" borderId="29" xfId="0" applyFont="1" applyFill="1" applyBorder="1" applyAlignment="1">
      <alignment horizontal="right" vertical="center"/>
    </xf>
    <xf numFmtId="0" fontId="18" fillId="4" borderId="3" xfId="0" applyFont="1" applyFill="1" applyBorder="1" applyAlignment="1">
      <alignment horizontal="right" vertical="center"/>
    </xf>
    <xf numFmtId="0" fontId="13" fillId="4" borderId="27" xfId="0" applyFont="1" applyFill="1" applyBorder="1" applyAlignment="1">
      <alignment horizontal="center" vertical="center"/>
    </xf>
    <xf numFmtId="0" fontId="13" fillId="4" borderId="54" xfId="0" applyFont="1" applyFill="1" applyBorder="1">
      <alignment vertical="center"/>
    </xf>
    <xf numFmtId="0" fontId="13" fillId="4" borderId="57" xfId="0" applyFont="1" applyFill="1" applyBorder="1">
      <alignment vertical="center"/>
    </xf>
    <xf numFmtId="0" fontId="13" fillId="0" borderId="0" xfId="0" applyFont="1" applyAlignment="1">
      <alignment horizontal="right" vertical="center"/>
    </xf>
    <xf numFmtId="0" fontId="13" fillId="0" borderId="0" xfId="0" applyFont="1" applyAlignment="1">
      <alignment horizontal="center" vertical="center"/>
    </xf>
    <xf numFmtId="0" fontId="15" fillId="0" borderId="0" xfId="0" applyFont="1" applyAlignment="1">
      <alignment horizontal="left" vertical="center"/>
    </xf>
    <xf numFmtId="0" fontId="16" fillId="0" borderId="0" xfId="0" applyFont="1">
      <alignment vertical="center"/>
    </xf>
    <xf numFmtId="0" fontId="22" fillId="0" borderId="0" xfId="0" applyFont="1">
      <alignment vertical="center"/>
    </xf>
    <xf numFmtId="0" fontId="20" fillId="0" borderId="0" xfId="0" applyFont="1" applyAlignment="1">
      <alignment horizontal="right" vertical="center"/>
    </xf>
    <xf numFmtId="0" fontId="20" fillId="0" borderId="60" xfId="0" applyFont="1" applyBorder="1" applyAlignment="1">
      <alignment horizontal="center" vertical="center"/>
    </xf>
    <xf numFmtId="0" fontId="13" fillId="0" borderId="15" xfId="0" applyFont="1" applyBorder="1">
      <alignment vertical="center"/>
    </xf>
    <xf numFmtId="0" fontId="15" fillId="0" borderId="0" xfId="0" applyFont="1" applyProtection="1">
      <alignment vertical="center"/>
      <protection locked="0"/>
    </xf>
    <xf numFmtId="0" fontId="13" fillId="0" borderId="0" xfId="0" applyFont="1" applyProtection="1">
      <alignment vertical="center"/>
      <protection locked="0"/>
    </xf>
    <xf numFmtId="0" fontId="20" fillId="0" borderId="0" xfId="0" applyFont="1" applyProtection="1">
      <alignment vertical="center"/>
      <protection locked="0"/>
    </xf>
    <xf numFmtId="176" fontId="13" fillId="0" borderId="0" xfId="0" applyNumberFormat="1" applyFont="1">
      <alignment vertical="center"/>
    </xf>
    <xf numFmtId="0" fontId="0" fillId="0" borderId="1" xfId="0" applyBorder="1">
      <alignment vertical="center"/>
    </xf>
    <xf numFmtId="0" fontId="0" fillId="0" borderId="0" xfId="0" applyAlignment="1">
      <alignment horizontal="center" vertical="center"/>
    </xf>
    <xf numFmtId="0" fontId="16" fillId="0" borderId="0" xfId="0" applyFont="1" applyAlignment="1">
      <alignment horizontal="left" vertical="center"/>
    </xf>
    <xf numFmtId="0" fontId="17" fillId="0" borderId="0" xfId="0" applyFont="1" applyAlignment="1">
      <alignment horizontal="center" vertical="center"/>
    </xf>
    <xf numFmtId="0" fontId="17" fillId="0" borderId="0" xfId="0" applyFont="1">
      <alignment vertical="center"/>
    </xf>
    <xf numFmtId="0" fontId="23" fillId="0" borderId="0" xfId="0" applyFont="1" applyAlignment="1">
      <alignment horizontal="center"/>
    </xf>
    <xf numFmtId="0" fontId="23" fillId="0" borderId="0" xfId="0" applyFont="1" applyAlignment="1">
      <alignment horizontal="center" vertical="center"/>
    </xf>
    <xf numFmtId="0" fontId="13" fillId="7" borderId="0" xfId="0" applyFont="1" applyFill="1">
      <alignment vertical="center"/>
    </xf>
    <xf numFmtId="0" fontId="18" fillId="7" borderId="29" xfId="0" applyFont="1" applyFill="1" applyBorder="1" applyAlignment="1">
      <alignment horizontal="center" vertical="center"/>
    </xf>
    <xf numFmtId="0" fontId="13" fillId="7" borderId="1" xfId="0" applyFont="1" applyFill="1" applyBorder="1" applyAlignment="1">
      <alignment horizontal="center" vertical="center"/>
    </xf>
    <xf numFmtId="0" fontId="18" fillId="7" borderId="1" xfId="0" applyFont="1" applyFill="1" applyBorder="1" applyAlignment="1">
      <alignment horizontal="center" vertical="center"/>
    </xf>
    <xf numFmtId="0" fontId="13" fillId="7" borderId="1" xfId="0" applyFont="1" applyFill="1" applyBorder="1">
      <alignment vertical="center"/>
    </xf>
    <xf numFmtId="176" fontId="13" fillId="7" borderId="0" xfId="0" applyNumberFormat="1" applyFont="1" applyFill="1">
      <alignment vertical="center"/>
    </xf>
    <xf numFmtId="0" fontId="13" fillId="7" borderId="0" xfId="0" applyFont="1" applyFill="1" applyAlignment="1">
      <alignment horizontal="center" vertical="center"/>
    </xf>
    <xf numFmtId="0" fontId="13" fillId="7" borderId="7" xfId="0" applyFont="1" applyFill="1" applyBorder="1" applyAlignment="1">
      <alignment horizontal="right" vertical="center"/>
    </xf>
    <xf numFmtId="0" fontId="13" fillId="7" borderId="8" xfId="0" applyFont="1" applyFill="1" applyBorder="1" applyAlignment="1">
      <alignment horizontal="center" vertical="center"/>
    </xf>
    <xf numFmtId="0" fontId="13" fillId="7" borderId="9" xfId="0" applyFont="1" applyFill="1" applyBorder="1" applyAlignment="1">
      <alignment horizontal="center" vertical="center"/>
    </xf>
    <xf numFmtId="0" fontId="18" fillId="7" borderId="1" xfId="0" applyFont="1" applyFill="1" applyBorder="1">
      <alignment vertical="center"/>
    </xf>
    <xf numFmtId="0" fontId="13" fillId="7" borderId="1" xfId="0" applyFont="1" applyFill="1" applyBorder="1" applyAlignment="1">
      <alignment horizontal="right" vertical="center"/>
    </xf>
    <xf numFmtId="0" fontId="13" fillId="7" borderId="10" xfId="0" applyFont="1" applyFill="1" applyBorder="1">
      <alignment vertical="center"/>
    </xf>
    <xf numFmtId="0" fontId="13" fillId="7" borderId="11" xfId="0" applyFont="1" applyFill="1" applyBorder="1">
      <alignment vertical="center"/>
    </xf>
    <xf numFmtId="0" fontId="0" fillId="7" borderId="0" xfId="0" applyFill="1">
      <alignment vertical="center"/>
    </xf>
    <xf numFmtId="0" fontId="0" fillId="7" borderId="1" xfId="0" applyFill="1" applyBorder="1">
      <alignment vertical="center"/>
    </xf>
    <xf numFmtId="178" fontId="13" fillId="0" borderId="0" xfId="0" applyNumberFormat="1" applyFont="1" applyAlignment="1">
      <alignment horizontal="right" vertical="center"/>
    </xf>
    <xf numFmtId="176" fontId="13" fillId="0" borderId="0" xfId="0" applyNumberFormat="1" applyFont="1" applyAlignment="1">
      <alignment horizontal="center" vertical="center"/>
    </xf>
    <xf numFmtId="0" fontId="13" fillId="0" borderId="0" xfId="0" applyFont="1" applyAlignment="1" applyProtection="1">
      <alignment horizontal="right" vertical="center"/>
      <protection locked="0"/>
    </xf>
    <xf numFmtId="0" fontId="2" fillId="0" borderId="0" xfId="0" applyFont="1" applyAlignment="1" applyProtection="1">
      <alignment horizontal="right" vertical="center"/>
      <protection locked="0"/>
    </xf>
    <xf numFmtId="0" fontId="15" fillId="0" borderId="0" xfId="0" applyFont="1">
      <alignment vertical="center"/>
    </xf>
    <xf numFmtId="0" fontId="17" fillId="0" borderId="0" xfId="0" applyFont="1" applyAlignment="1" applyProtection="1">
      <alignment horizontal="right"/>
      <protection locked="0"/>
    </xf>
    <xf numFmtId="0" fontId="23" fillId="0" borderId="0" xfId="0" applyFont="1" applyAlignment="1" applyProtection="1">
      <alignment horizontal="right" vertical="center"/>
      <protection locked="0"/>
    </xf>
    <xf numFmtId="0" fontId="31" fillId="0" borderId="0" xfId="0" applyFont="1" applyAlignment="1">
      <alignment horizontal="right" vertical="center"/>
    </xf>
    <xf numFmtId="0" fontId="37" fillId="0" borderId="0" xfId="0" applyFont="1">
      <alignment vertical="center"/>
    </xf>
    <xf numFmtId="0" fontId="13" fillId="7" borderId="1" xfId="0" applyFont="1" applyFill="1" applyBorder="1" applyAlignment="1">
      <alignment horizontal="left" vertical="center"/>
    </xf>
    <xf numFmtId="0" fontId="37" fillId="0" borderId="0" xfId="0" applyFont="1" applyAlignment="1">
      <alignment horizontal="center" vertical="center"/>
    </xf>
    <xf numFmtId="0" fontId="0" fillId="8" borderId="0" xfId="0" applyFill="1">
      <alignment vertical="center"/>
    </xf>
    <xf numFmtId="0" fontId="0" fillId="8" borderId="1" xfId="0" applyFill="1" applyBorder="1">
      <alignment vertical="center"/>
    </xf>
    <xf numFmtId="0" fontId="13" fillId="7" borderId="29" xfId="0" applyFont="1" applyFill="1" applyBorder="1" applyAlignment="1">
      <alignment horizontal="left" vertical="center"/>
    </xf>
    <xf numFmtId="0" fontId="38" fillId="7" borderId="0" xfId="0" applyFont="1" applyFill="1">
      <alignment vertical="center"/>
    </xf>
    <xf numFmtId="0" fontId="38" fillId="0" borderId="0" xfId="0" applyFont="1" applyAlignment="1">
      <alignment horizontal="left" vertical="center"/>
    </xf>
    <xf numFmtId="0" fontId="39" fillId="0" borderId="0" xfId="0" applyFont="1">
      <alignment vertical="center"/>
    </xf>
    <xf numFmtId="0" fontId="40" fillId="0" borderId="0" xfId="0" applyFont="1">
      <alignment vertical="center"/>
    </xf>
    <xf numFmtId="180" fontId="0" fillId="0" borderId="0" xfId="0" applyNumberFormat="1">
      <alignment vertical="center"/>
    </xf>
    <xf numFmtId="0" fontId="34" fillId="0" borderId="0" xfId="0" applyFont="1">
      <alignment vertical="center"/>
    </xf>
    <xf numFmtId="0" fontId="35" fillId="0" borderId="0" xfId="0" applyFont="1" applyAlignment="1">
      <alignment horizontal="right" vertical="center"/>
    </xf>
    <xf numFmtId="0" fontId="33" fillId="0" borderId="0" xfId="0" applyFont="1" applyAlignment="1">
      <alignment horizontal="right" vertical="center"/>
    </xf>
    <xf numFmtId="0" fontId="14" fillId="0" borderId="0" xfId="0" applyFont="1" applyAlignment="1">
      <alignment horizontal="left" vertical="center"/>
    </xf>
    <xf numFmtId="0" fontId="13" fillId="0" borderId="7" xfId="0" applyFont="1" applyBorder="1" applyAlignment="1" applyProtection="1">
      <alignment horizontal="right" vertical="center"/>
      <protection locked="0"/>
    </xf>
    <xf numFmtId="0" fontId="13" fillId="0" borderId="10" xfId="0" applyFont="1" applyBorder="1" applyAlignment="1" applyProtection="1">
      <alignment horizontal="right" vertical="center"/>
      <protection locked="0"/>
    </xf>
    <xf numFmtId="0" fontId="13" fillId="0" borderId="12" xfId="0" applyFont="1" applyBorder="1" applyAlignment="1" applyProtection="1">
      <alignment horizontal="right" vertical="center"/>
      <protection locked="0"/>
    </xf>
    <xf numFmtId="0" fontId="13" fillId="0" borderId="62" xfId="0" applyFont="1" applyBorder="1" applyAlignment="1" applyProtection="1">
      <alignment horizontal="right" vertical="center"/>
      <protection locked="0"/>
    </xf>
    <xf numFmtId="0" fontId="13" fillId="0" borderId="65" xfId="0" applyFont="1" applyBorder="1" applyProtection="1">
      <alignment vertical="center"/>
      <protection locked="0"/>
    </xf>
    <xf numFmtId="0" fontId="13" fillId="0" borderId="63" xfId="0" applyFont="1" applyBorder="1" applyProtection="1">
      <alignment vertical="center"/>
      <protection locked="0"/>
    </xf>
    <xf numFmtId="0" fontId="13" fillId="0" borderId="64" xfId="0" applyFont="1" applyBorder="1" applyProtection="1">
      <alignment vertical="center"/>
      <protection locked="0"/>
    </xf>
    <xf numFmtId="0" fontId="38" fillId="0" borderId="0" xfId="0" applyFont="1">
      <alignment vertical="center"/>
    </xf>
    <xf numFmtId="0" fontId="32" fillId="0" borderId="0" xfId="0" applyFont="1" applyAlignment="1">
      <alignment horizontal="right" vertical="center"/>
    </xf>
    <xf numFmtId="0" fontId="18" fillId="0" borderId="0" xfId="0" applyFont="1" applyAlignment="1">
      <alignment horizontal="left" vertical="center"/>
    </xf>
    <xf numFmtId="0" fontId="18" fillId="0" borderId="0" xfId="0" applyFont="1" applyAlignment="1">
      <alignment horizontal="center" vertical="center"/>
    </xf>
    <xf numFmtId="0" fontId="21" fillId="0" borderId="0" xfId="0" applyFont="1">
      <alignment vertical="center"/>
    </xf>
    <xf numFmtId="0" fontId="13" fillId="0" borderId="0" xfId="0" applyFont="1" applyAlignment="1">
      <alignment horizontal="left" vertical="center"/>
    </xf>
    <xf numFmtId="20" fontId="13" fillId="0" borderId="0" xfId="0" applyNumberFormat="1" applyFont="1" applyAlignment="1">
      <alignment horizontal="center" vertical="center"/>
    </xf>
    <xf numFmtId="0" fontId="42" fillId="0" borderId="0" xfId="0" applyFont="1">
      <alignment vertical="center"/>
    </xf>
    <xf numFmtId="0" fontId="42" fillId="0" borderId="0" xfId="0" applyFont="1" applyAlignment="1">
      <alignment horizontal="right" vertical="center"/>
    </xf>
    <xf numFmtId="0" fontId="28" fillId="0" borderId="0" xfId="0" applyFont="1" applyAlignment="1">
      <alignment horizontal="right" vertical="center"/>
    </xf>
    <xf numFmtId="0" fontId="28" fillId="0" borderId="0" xfId="0" applyFont="1" applyAlignment="1">
      <alignment horizontal="center" vertical="center"/>
    </xf>
    <xf numFmtId="0" fontId="28" fillId="0" borderId="0" xfId="0" applyFont="1">
      <alignment vertical="center"/>
    </xf>
    <xf numFmtId="0" fontId="13" fillId="0" borderId="32" xfId="0" applyFont="1" applyBorder="1">
      <alignment vertical="center"/>
    </xf>
    <xf numFmtId="0" fontId="13" fillId="0" borderId="10" xfId="0" applyFont="1" applyBorder="1">
      <alignment vertical="center"/>
    </xf>
    <xf numFmtId="0" fontId="13" fillId="0" borderId="44" xfId="0" applyFont="1" applyBorder="1">
      <alignment vertical="center"/>
    </xf>
    <xf numFmtId="0" fontId="0" fillId="0" borderId="59" xfId="0" applyBorder="1">
      <alignment vertical="center"/>
    </xf>
    <xf numFmtId="0" fontId="0" fillId="2" borderId="1" xfId="0" applyFill="1" applyBorder="1">
      <alignment vertical="center"/>
    </xf>
    <xf numFmtId="0" fontId="13" fillId="2" borderId="1" xfId="0" applyFont="1" applyFill="1" applyBorder="1">
      <alignment vertical="center"/>
    </xf>
    <xf numFmtId="0" fontId="22" fillId="0" borderId="0" xfId="0" applyFont="1" applyAlignment="1">
      <alignment horizontal="right" vertical="center"/>
    </xf>
    <xf numFmtId="0" fontId="18" fillId="0" borderId="0" xfId="0" applyFont="1">
      <alignment vertical="center"/>
    </xf>
    <xf numFmtId="182" fontId="0" fillId="2" borderId="1" xfId="0" applyNumberFormat="1" applyFill="1" applyBorder="1">
      <alignment vertical="center"/>
    </xf>
    <xf numFmtId="182" fontId="0" fillId="2" borderId="0" xfId="0" applyNumberFormat="1" applyFill="1">
      <alignment vertical="center"/>
    </xf>
    <xf numFmtId="0" fontId="44" fillId="0" borderId="0" xfId="0" applyFont="1">
      <alignment vertical="center"/>
    </xf>
    <xf numFmtId="0" fontId="45" fillId="0" borderId="0" xfId="0" applyFont="1">
      <alignment vertical="center"/>
    </xf>
    <xf numFmtId="0" fontId="45" fillId="0" borderId="0" xfId="0" applyFont="1" applyAlignment="1">
      <alignment horizontal="right" vertical="center"/>
    </xf>
    <xf numFmtId="0" fontId="13" fillId="5" borderId="0" xfId="0" applyFont="1" applyFill="1">
      <alignment vertical="center"/>
    </xf>
    <xf numFmtId="0" fontId="29" fillId="0" borderId="0" xfId="0" applyFont="1">
      <alignment vertical="center"/>
    </xf>
    <xf numFmtId="0" fontId="41" fillId="0" borderId="0" xfId="0" applyFont="1">
      <alignment vertical="center"/>
    </xf>
    <xf numFmtId="176" fontId="49" fillId="0" borderId="0" xfId="0" applyNumberFormat="1" applyFont="1">
      <alignment vertical="center"/>
    </xf>
    <xf numFmtId="0" fontId="49" fillId="7" borderId="0" xfId="0" applyFont="1" applyFill="1">
      <alignment vertical="center"/>
    </xf>
    <xf numFmtId="0" fontId="50" fillId="0" borderId="0" xfId="0" applyFont="1">
      <alignment vertical="center"/>
    </xf>
    <xf numFmtId="0" fontId="44" fillId="7" borderId="0" xfId="0" applyFont="1" applyFill="1">
      <alignment vertical="center"/>
    </xf>
    <xf numFmtId="0" fontId="51" fillId="0" borderId="0" xfId="0" applyFont="1">
      <alignment vertical="center"/>
    </xf>
    <xf numFmtId="0" fontId="52" fillId="0" borderId="0" xfId="0" applyFont="1">
      <alignment vertical="center"/>
    </xf>
    <xf numFmtId="0" fontId="45" fillId="0" borderId="0" xfId="0" applyFont="1" applyAlignment="1">
      <alignment horizontal="left" vertical="center"/>
    </xf>
    <xf numFmtId="0" fontId="13" fillId="0" borderId="7" xfId="0" applyFont="1" applyBorder="1">
      <alignment vertical="center"/>
    </xf>
    <xf numFmtId="0" fontId="13" fillId="0" borderId="1" xfId="0" applyFont="1" applyBorder="1">
      <alignment vertical="center"/>
    </xf>
    <xf numFmtId="0" fontId="13" fillId="0" borderId="11" xfId="0" applyFont="1" applyBorder="1">
      <alignment vertical="center"/>
    </xf>
    <xf numFmtId="0" fontId="38" fillId="0" borderId="0" xfId="0" applyFont="1" applyAlignment="1">
      <alignment horizontal="center" vertical="center"/>
    </xf>
    <xf numFmtId="0" fontId="13" fillId="0" borderId="12" xfId="0" applyFont="1" applyBorder="1">
      <alignment vertical="center"/>
    </xf>
    <xf numFmtId="0" fontId="13" fillId="0" borderId="13" xfId="0" applyFont="1" applyBorder="1">
      <alignment vertical="center"/>
    </xf>
    <xf numFmtId="0" fontId="13" fillId="0" borderId="14" xfId="0" applyFont="1" applyBorder="1">
      <alignment vertical="center"/>
    </xf>
    <xf numFmtId="0" fontId="46" fillId="0" borderId="0" xfId="0" applyFont="1" applyAlignment="1">
      <alignment horizontal="center" vertical="center"/>
    </xf>
    <xf numFmtId="0" fontId="13" fillId="0" borderId="24" xfId="0" applyFont="1" applyBorder="1">
      <alignment vertical="center"/>
    </xf>
    <xf numFmtId="0" fontId="13" fillId="0" borderId="1" xfId="0" applyFont="1" applyBorder="1" applyAlignment="1">
      <alignment horizontal="right" vertical="center"/>
    </xf>
    <xf numFmtId="0" fontId="16" fillId="0" borderId="1" xfId="0" applyFont="1" applyBorder="1" applyAlignment="1">
      <alignment horizontal="center" vertical="center"/>
    </xf>
    <xf numFmtId="0" fontId="13" fillId="0" borderId="1" xfId="0" applyFont="1" applyBorder="1" applyAlignment="1">
      <alignment horizontal="center" vertical="center"/>
    </xf>
    <xf numFmtId="0" fontId="16" fillId="0" borderId="0" xfId="0" applyFont="1" applyAlignment="1">
      <alignment horizontal="right" vertical="center"/>
    </xf>
    <xf numFmtId="0" fontId="16" fillId="0" borderId="1" xfId="0" applyFont="1" applyBorder="1">
      <alignment vertical="center"/>
    </xf>
    <xf numFmtId="0" fontId="18" fillId="0" borderId="0" xfId="0" applyFont="1" applyAlignment="1">
      <alignment horizontal="right" vertical="center"/>
    </xf>
    <xf numFmtId="0" fontId="53" fillId="0" borderId="0" xfId="0" applyFont="1">
      <alignment vertical="center"/>
    </xf>
    <xf numFmtId="0" fontId="53" fillId="0" borderId="0" xfId="0" applyFont="1" applyAlignment="1">
      <alignment horizontal="right" vertical="center"/>
    </xf>
    <xf numFmtId="0" fontId="38" fillId="5" borderId="0" xfId="0" applyFont="1" applyFill="1" applyAlignment="1">
      <alignment horizontal="left" vertical="center"/>
    </xf>
    <xf numFmtId="0" fontId="18" fillId="5" borderId="0" xfId="0" applyFont="1" applyFill="1">
      <alignment vertical="center"/>
    </xf>
    <xf numFmtId="0" fontId="18" fillId="5" borderId="0" xfId="0" applyFont="1" applyFill="1" applyAlignment="1">
      <alignment horizontal="center" vertical="center"/>
    </xf>
    <xf numFmtId="0" fontId="18" fillId="5" borderId="33" xfId="0" applyFont="1" applyFill="1" applyBorder="1" applyAlignment="1">
      <alignment horizontal="center" vertical="center"/>
    </xf>
    <xf numFmtId="0" fontId="53" fillId="5" borderId="0" xfId="0" applyFont="1" applyFill="1" applyAlignment="1">
      <alignment horizontal="left" vertical="center"/>
    </xf>
    <xf numFmtId="0" fontId="53" fillId="5" borderId="0" xfId="0" applyFont="1" applyFill="1">
      <alignment vertical="center"/>
    </xf>
    <xf numFmtId="0" fontId="13" fillId="0" borderId="9" xfId="0" applyFont="1" applyBorder="1">
      <alignment vertical="center"/>
    </xf>
    <xf numFmtId="0" fontId="13" fillId="0" borderId="22" xfId="0" applyFont="1" applyBorder="1">
      <alignment vertical="center"/>
    </xf>
    <xf numFmtId="0" fontId="13" fillId="0" borderId="25" xfId="0" applyFont="1" applyBorder="1">
      <alignment vertical="center"/>
    </xf>
    <xf numFmtId="0" fontId="13" fillId="0" borderId="34" xfId="0" applyFont="1" applyBorder="1">
      <alignment vertical="center"/>
    </xf>
    <xf numFmtId="0" fontId="13" fillId="0" borderId="35" xfId="0" applyFont="1" applyBorder="1">
      <alignment vertical="center"/>
    </xf>
    <xf numFmtId="0" fontId="13" fillId="11" borderId="0" xfId="0" applyFont="1" applyFill="1">
      <alignment vertical="center"/>
    </xf>
    <xf numFmtId="0" fontId="13" fillId="11" borderId="1" xfId="0" applyFont="1" applyFill="1" applyBorder="1">
      <alignment vertical="center"/>
    </xf>
    <xf numFmtId="0" fontId="13" fillId="11" borderId="29" xfId="0" applyFont="1" applyFill="1" applyBorder="1">
      <alignment vertical="center"/>
    </xf>
    <xf numFmtId="0" fontId="13" fillId="11" borderId="24" xfId="0" applyFont="1" applyFill="1" applyBorder="1">
      <alignment vertical="center"/>
    </xf>
    <xf numFmtId="0" fontId="0" fillId="12" borderId="0" xfId="0" applyFill="1">
      <alignment vertical="center"/>
    </xf>
    <xf numFmtId="22" fontId="29" fillId="0" borderId="0" xfId="0" applyNumberFormat="1" applyFont="1">
      <alignment vertical="center"/>
    </xf>
    <xf numFmtId="0" fontId="54" fillId="0" borderId="0" xfId="0" applyFont="1">
      <alignment vertical="center"/>
    </xf>
    <xf numFmtId="0" fontId="13" fillId="0" borderId="72" xfId="0" applyFont="1" applyBorder="1">
      <alignment vertical="center"/>
    </xf>
    <xf numFmtId="0" fontId="13" fillId="0" borderId="22" xfId="0" applyFont="1" applyBorder="1" applyAlignment="1">
      <alignment horizontal="right" vertical="center"/>
    </xf>
    <xf numFmtId="0" fontId="18" fillId="13" borderId="0" xfId="0" applyFont="1" applyFill="1">
      <alignment vertical="center"/>
    </xf>
    <xf numFmtId="0" fontId="0" fillId="0" borderId="1" xfId="0" applyBorder="1" applyAlignment="1">
      <alignment horizontal="center" vertical="center"/>
    </xf>
    <xf numFmtId="0" fontId="13" fillId="14" borderId="1" xfId="0" applyFont="1" applyFill="1" applyBorder="1">
      <alignment vertical="center"/>
    </xf>
    <xf numFmtId="0" fontId="16" fillId="0" borderId="0" xfId="0" applyFont="1" applyAlignment="1">
      <alignment horizontal="center" vertical="center"/>
    </xf>
    <xf numFmtId="180" fontId="0" fillId="0" borderId="0" xfId="0" applyNumberFormat="1" applyAlignment="1">
      <alignment horizontal="center" vertical="center"/>
    </xf>
    <xf numFmtId="0" fontId="0" fillId="0" borderId="1" xfId="0" applyBorder="1" applyAlignment="1">
      <alignment horizontal="right" vertical="center"/>
    </xf>
    <xf numFmtId="0" fontId="13" fillId="6" borderId="0" xfId="0" applyFont="1" applyFill="1">
      <alignment vertical="center"/>
    </xf>
    <xf numFmtId="0" fontId="13" fillId="6" borderId="0" xfId="0" applyFont="1" applyFill="1" applyAlignment="1">
      <alignment horizontal="center" vertical="center"/>
    </xf>
    <xf numFmtId="0" fontId="13" fillId="6" borderId="0" xfId="0" applyFont="1" applyFill="1" applyAlignment="1">
      <alignment horizontal="left" vertical="center"/>
    </xf>
    <xf numFmtId="0" fontId="19" fillId="0" borderId="0" xfId="0" applyFont="1">
      <alignment vertical="center"/>
    </xf>
    <xf numFmtId="0" fontId="55" fillId="0" borderId="0" xfId="0" applyFont="1">
      <alignment vertical="center"/>
    </xf>
    <xf numFmtId="0" fontId="37" fillId="0" borderId="0" xfId="0" applyFont="1" applyAlignment="1">
      <alignment horizontal="left" vertical="center"/>
    </xf>
    <xf numFmtId="0" fontId="48" fillId="0" borderId="0" xfId="0" applyFont="1" applyAlignment="1">
      <alignment horizontal="left" vertical="center"/>
    </xf>
    <xf numFmtId="0" fontId="36" fillId="0" borderId="1" xfId="0" applyFont="1" applyBorder="1" applyAlignment="1">
      <alignment horizontal="left" vertical="center"/>
    </xf>
    <xf numFmtId="0" fontId="18" fillId="0" borderId="1" xfId="0" applyFont="1" applyBorder="1" applyAlignment="1">
      <alignment horizontal="center" vertical="center"/>
    </xf>
    <xf numFmtId="0" fontId="13" fillId="15" borderId="0" xfId="0" applyFont="1" applyFill="1">
      <alignment vertical="center"/>
    </xf>
    <xf numFmtId="0" fontId="13" fillId="15" borderId="0" xfId="0" applyFont="1" applyFill="1" applyAlignment="1">
      <alignment horizontal="right" vertical="center"/>
    </xf>
    <xf numFmtId="0" fontId="13" fillId="15" borderId="0" xfId="0" applyFont="1" applyFill="1" applyAlignment="1">
      <alignment horizontal="center" vertical="center"/>
    </xf>
    <xf numFmtId="0" fontId="19" fillId="9" borderId="1" xfId="0" applyFont="1" applyFill="1" applyBorder="1">
      <alignment vertical="center"/>
    </xf>
    <xf numFmtId="0" fontId="13" fillId="9" borderId="0" xfId="0" applyFont="1" applyFill="1">
      <alignment vertical="center"/>
    </xf>
    <xf numFmtId="0" fontId="57" fillId="0" borderId="0" xfId="0" applyFont="1">
      <alignment vertical="center"/>
    </xf>
    <xf numFmtId="0" fontId="19" fillId="0" borderId="0" xfId="0" applyFont="1" applyAlignment="1">
      <alignment horizontal="left" vertical="center"/>
    </xf>
    <xf numFmtId="0" fontId="13" fillId="2" borderId="0" xfId="0" applyFont="1" applyFill="1">
      <alignment vertical="center"/>
    </xf>
    <xf numFmtId="0" fontId="47" fillId="2" borderId="30" xfId="0" applyFont="1" applyFill="1" applyBorder="1" applyAlignment="1">
      <alignment horizontal="center" vertical="center"/>
    </xf>
    <xf numFmtId="0" fontId="46" fillId="2" borderId="30" xfId="0" applyFont="1" applyFill="1" applyBorder="1" applyAlignment="1">
      <alignment horizontal="center" vertical="center"/>
    </xf>
    <xf numFmtId="0" fontId="19" fillId="2" borderId="0" xfId="0" applyFont="1" applyFill="1">
      <alignment vertical="center"/>
    </xf>
    <xf numFmtId="0" fontId="13" fillId="2" borderId="30" xfId="0" applyFont="1" applyFill="1" applyBorder="1">
      <alignment vertical="center"/>
    </xf>
    <xf numFmtId="0" fontId="15" fillId="0" borderId="0" xfId="0" applyFont="1" applyAlignment="1">
      <alignment horizontal="right" vertical="center"/>
    </xf>
    <xf numFmtId="0" fontId="32" fillId="0" borderId="0" xfId="0" applyFont="1">
      <alignment vertical="center"/>
    </xf>
    <xf numFmtId="0" fontId="13" fillId="17" borderId="0" xfId="0" applyFont="1" applyFill="1">
      <alignment vertical="center"/>
    </xf>
    <xf numFmtId="0" fontId="13" fillId="17" borderId="0" xfId="0" applyFont="1" applyFill="1" applyAlignment="1">
      <alignment horizontal="right" vertical="center"/>
    </xf>
    <xf numFmtId="0" fontId="13" fillId="17" borderId="0" xfId="0" applyFont="1" applyFill="1" applyAlignment="1">
      <alignment horizontal="center" vertical="center"/>
    </xf>
    <xf numFmtId="0" fontId="58" fillId="0" borderId="0" xfId="0" applyFont="1">
      <alignment vertical="center"/>
    </xf>
    <xf numFmtId="0" fontId="45" fillId="17" borderId="0" xfId="0" applyFont="1" applyFill="1">
      <alignment vertical="center"/>
    </xf>
    <xf numFmtId="0" fontId="13" fillId="0" borderId="0" xfId="0" applyFont="1" applyAlignment="1">
      <alignment vertical="center" wrapText="1"/>
    </xf>
    <xf numFmtId="0" fontId="23" fillId="17" borderId="0" xfId="0" applyFont="1" applyFill="1">
      <alignment vertical="center"/>
    </xf>
    <xf numFmtId="0" fontId="43" fillId="2" borderId="3" xfId="0" applyFont="1" applyFill="1" applyBorder="1">
      <alignment vertical="center"/>
    </xf>
    <xf numFmtId="0" fontId="63" fillId="0" borderId="0" xfId="0" applyFont="1" applyAlignment="1">
      <alignment horizontal="center" vertical="center" wrapText="1"/>
    </xf>
    <xf numFmtId="0" fontId="29" fillId="0" borderId="0" xfId="0" applyFont="1" applyAlignment="1">
      <alignment vertical="center" wrapText="1"/>
    </xf>
    <xf numFmtId="0" fontId="18" fillId="2" borderId="0" xfId="0" applyFont="1" applyFill="1" applyAlignment="1">
      <alignment horizontal="right" vertical="center"/>
    </xf>
    <xf numFmtId="0" fontId="53" fillId="0" borderId="0" xfId="0" applyFont="1" applyAlignment="1">
      <alignment horizontal="left" vertical="center"/>
    </xf>
    <xf numFmtId="0" fontId="19" fillId="0" borderId="0" xfId="0" applyFont="1" applyAlignment="1">
      <alignment horizontal="center" vertical="center"/>
    </xf>
    <xf numFmtId="0" fontId="13" fillId="0" borderId="16" xfId="0" applyFont="1" applyBorder="1" applyAlignment="1">
      <alignment horizontal="center" vertical="center"/>
    </xf>
    <xf numFmtId="0" fontId="13" fillId="0" borderId="20" xfId="0" applyFont="1" applyBorder="1">
      <alignment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5"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37" fillId="2" borderId="33" xfId="0" applyFont="1" applyFill="1" applyBorder="1">
      <alignment vertical="center"/>
    </xf>
    <xf numFmtId="0" fontId="13" fillId="2" borderId="74" xfId="0" applyFont="1" applyFill="1" applyBorder="1">
      <alignment vertical="center"/>
    </xf>
    <xf numFmtId="0" fontId="13" fillId="2" borderId="33" xfId="0" applyFont="1" applyFill="1" applyBorder="1">
      <alignment vertical="center"/>
    </xf>
    <xf numFmtId="0" fontId="37" fillId="2" borderId="36" xfId="0" applyFont="1" applyFill="1" applyBorder="1">
      <alignment vertical="center"/>
    </xf>
    <xf numFmtId="0" fontId="16" fillId="2" borderId="74" xfId="0" applyFont="1" applyFill="1" applyBorder="1">
      <alignment vertical="center"/>
    </xf>
    <xf numFmtId="0" fontId="37" fillId="2" borderId="33" xfId="0" applyFont="1" applyFill="1" applyBorder="1" applyAlignment="1">
      <alignment horizontal="left" vertical="center"/>
    </xf>
    <xf numFmtId="0" fontId="23" fillId="8" borderId="35" xfId="0" applyFont="1" applyFill="1" applyBorder="1" applyAlignment="1" applyProtection="1">
      <alignment horizontal="center" vertical="center"/>
      <protection locked="0"/>
    </xf>
    <xf numFmtId="0" fontId="13" fillId="2" borderId="0" xfId="0" applyFont="1" applyFill="1" applyAlignment="1">
      <alignment horizontal="left" vertical="center"/>
    </xf>
    <xf numFmtId="0" fontId="19" fillId="8" borderId="0" xfId="0" applyFont="1" applyFill="1">
      <alignment vertical="center"/>
    </xf>
    <xf numFmtId="0" fontId="13" fillId="2" borderId="51" xfId="0" applyFont="1" applyFill="1" applyBorder="1">
      <alignment vertical="center"/>
    </xf>
    <xf numFmtId="0" fontId="19" fillId="2" borderId="51" xfId="0" applyFont="1" applyFill="1" applyBorder="1" applyAlignment="1">
      <alignment horizontal="left" vertical="center"/>
    </xf>
    <xf numFmtId="0" fontId="19" fillId="2" borderId="2" xfId="0" applyFont="1" applyFill="1" applyBorder="1">
      <alignment vertical="center"/>
    </xf>
    <xf numFmtId="0" fontId="19" fillId="2" borderId="51" xfId="0" applyFont="1" applyFill="1" applyBorder="1">
      <alignment vertical="center"/>
    </xf>
    <xf numFmtId="0" fontId="13" fillId="2" borderId="2" xfId="0" applyFont="1" applyFill="1" applyBorder="1">
      <alignment vertical="center"/>
    </xf>
    <xf numFmtId="0" fontId="18" fillId="2" borderId="51" xfId="0" applyFont="1" applyFill="1" applyBorder="1" applyAlignment="1">
      <alignment horizontal="left" vertical="center"/>
    </xf>
    <xf numFmtId="0" fontId="13" fillId="2" borderId="51" xfId="0" applyFont="1" applyFill="1" applyBorder="1" applyAlignment="1">
      <alignment horizontal="right" vertical="center"/>
    </xf>
    <xf numFmtId="0" fontId="13" fillId="2" borderId="14" xfId="0" applyFont="1" applyFill="1" applyBorder="1">
      <alignment vertical="center"/>
    </xf>
    <xf numFmtId="0" fontId="49" fillId="0" borderId="0" xfId="0" applyFont="1">
      <alignment vertical="center"/>
    </xf>
    <xf numFmtId="0" fontId="0" fillId="18" borderId="0" xfId="0" applyFill="1">
      <alignment vertical="center"/>
    </xf>
    <xf numFmtId="0" fontId="13" fillId="18" borderId="0" xfId="0" applyFont="1" applyFill="1">
      <alignment vertical="center"/>
    </xf>
    <xf numFmtId="0" fontId="20" fillId="0" borderId="75" xfId="0" applyFont="1" applyBorder="1" applyAlignment="1">
      <alignment horizontal="center" vertical="center"/>
    </xf>
    <xf numFmtId="0" fontId="13" fillId="0" borderId="30" xfId="0" applyFont="1" applyBorder="1" applyAlignment="1">
      <alignment horizontal="center" vertical="center"/>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20" fillId="0" borderId="0" xfId="0" applyFont="1" applyAlignment="1">
      <alignment horizontal="center" vertical="center" wrapText="1"/>
    </xf>
    <xf numFmtId="180" fontId="25" fillId="0" borderId="0" xfId="0" applyNumberFormat="1" applyFont="1" applyAlignment="1">
      <alignment horizontal="center" vertical="center"/>
    </xf>
    <xf numFmtId="0" fontId="65" fillId="0" borderId="0" xfId="0" applyFont="1">
      <alignment vertical="center"/>
    </xf>
    <xf numFmtId="0" fontId="17" fillId="0" borderId="0" xfId="0" applyFont="1" applyAlignment="1">
      <alignment vertical="top"/>
    </xf>
    <xf numFmtId="0" fontId="28" fillId="2" borderId="3" xfId="0" applyFont="1" applyFill="1" applyBorder="1">
      <alignment vertical="center"/>
    </xf>
    <xf numFmtId="0" fontId="13" fillId="7" borderId="7" xfId="0" applyFont="1" applyFill="1" applyBorder="1" applyProtection="1">
      <alignment vertical="center"/>
      <protection locked="0"/>
    </xf>
    <xf numFmtId="0" fontId="13" fillId="7" borderId="72" xfId="0" applyFont="1" applyFill="1" applyBorder="1" applyProtection="1">
      <alignment vertical="center"/>
      <protection locked="0"/>
    </xf>
    <xf numFmtId="0" fontId="32" fillId="0" borderId="0" xfId="0" applyFont="1" applyAlignment="1">
      <alignment horizontal="left" vertical="center"/>
    </xf>
    <xf numFmtId="0" fontId="13" fillId="2" borderId="32" xfId="0" applyFont="1" applyFill="1" applyBorder="1" applyAlignment="1" applyProtection="1">
      <alignment horizontal="right" vertical="center" wrapText="1"/>
      <protection locked="0"/>
    </xf>
    <xf numFmtId="180" fontId="0" fillId="0" borderId="1" xfId="0" applyNumberFormat="1" applyBorder="1" applyAlignment="1">
      <alignment horizontal="right" vertical="center"/>
    </xf>
    <xf numFmtId="0" fontId="18" fillId="0" borderId="0" xfId="0" applyFont="1" applyAlignment="1"/>
    <xf numFmtId="0" fontId="13" fillId="0" borderId="29" xfId="0" applyFont="1" applyBorder="1">
      <alignment vertical="center"/>
    </xf>
    <xf numFmtId="0" fontId="13" fillId="0" borderId="3" xfId="0" applyFont="1" applyBorder="1">
      <alignment vertical="center"/>
    </xf>
    <xf numFmtId="0" fontId="13" fillId="2" borderId="29" xfId="0" applyFont="1" applyFill="1" applyBorder="1">
      <alignment vertical="center"/>
    </xf>
    <xf numFmtId="0" fontId="13" fillId="2" borderId="24" xfId="0" applyFont="1" applyFill="1" applyBorder="1">
      <alignment vertical="center"/>
    </xf>
    <xf numFmtId="0" fontId="19" fillId="2" borderId="1" xfId="0" applyFont="1" applyFill="1" applyBorder="1" applyAlignment="1">
      <alignment horizontal="left" vertical="center"/>
    </xf>
    <xf numFmtId="0" fontId="19" fillId="2" borderId="24" xfId="0" applyFont="1" applyFill="1" applyBorder="1" applyAlignment="1">
      <alignment horizontal="left" vertical="center"/>
    </xf>
    <xf numFmtId="0" fontId="13" fillId="2" borderId="3" xfId="0" applyFont="1" applyFill="1" applyBorder="1">
      <alignment vertical="center"/>
    </xf>
    <xf numFmtId="0" fontId="18" fillId="2" borderId="29" xfId="0" applyFont="1" applyFill="1" applyBorder="1">
      <alignment vertical="center"/>
    </xf>
    <xf numFmtId="0" fontId="18" fillId="2" borderId="3" xfId="0" applyFont="1" applyFill="1" applyBorder="1">
      <alignment vertical="center"/>
    </xf>
    <xf numFmtId="0" fontId="66" fillId="2" borderId="24" xfId="0" applyFont="1" applyFill="1" applyBorder="1">
      <alignment vertical="center"/>
    </xf>
    <xf numFmtId="183" fontId="30" fillId="7" borderId="44" xfId="0" applyNumberFormat="1" applyFont="1" applyFill="1" applyBorder="1" applyAlignment="1">
      <alignment horizontal="right" vertical="center"/>
    </xf>
    <xf numFmtId="0" fontId="13" fillId="7" borderId="29" xfId="0" applyFont="1" applyFill="1" applyBorder="1" applyAlignment="1">
      <alignment horizontal="center" vertical="center"/>
    </xf>
    <xf numFmtId="0" fontId="13" fillId="15" borderId="1" xfId="0" applyFont="1" applyFill="1" applyBorder="1">
      <alignment vertical="center"/>
    </xf>
    <xf numFmtId="0" fontId="13" fillId="4" borderId="4" xfId="0" applyFont="1" applyFill="1" applyBorder="1">
      <alignment vertical="center"/>
    </xf>
    <xf numFmtId="0" fontId="13" fillId="4" borderId="35" xfId="0" applyFont="1" applyFill="1" applyBorder="1">
      <alignment vertical="center"/>
    </xf>
    <xf numFmtId="0" fontId="18" fillId="6" borderId="24" xfId="0" applyFont="1" applyFill="1" applyBorder="1" applyAlignment="1">
      <alignment horizontal="right" vertical="center"/>
    </xf>
    <xf numFmtId="0" fontId="13" fillId="4" borderId="8" xfId="0" applyFont="1" applyFill="1" applyBorder="1">
      <alignment vertical="center"/>
    </xf>
    <xf numFmtId="0" fontId="18" fillId="4" borderId="5" xfId="0" applyFont="1" applyFill="1" applyBorder="1" applyAlignment="1">
      <alignment horizontal="right" vertical="center"/>
    </xf>
    <xf numFmtId="177" fontId="13" fillId="4" borderId="35" xfId="0" applyNumberFormat="1" applyFont="1" applyFill="1" applyBorder="1">
      <alignment vertical="center"/>
    </xf>
    <xf numFmtId="0" fontId="67" fillId="0" borderId="0" xfId="0" applyFont="1" applyAlignment="1">
      <alignment horizontal="left" vertical="center"/>
    </xf>
    <xf numFmtId="0" fontId="13" fillId="7" borderId="44" xfId="0" applyFont="1" applyFill="1" applyBorder="1">
      <alignment vertical="center"/>
    </xf>
    <xf numFmtId="0" fontId="13" fillId="7" borderId="26" xfId="0" applyFont="1" applyFill="1" applyBorder="1">
      <alignment vertical="center"/>
    </xf>
    <xf numFmtId="183" fontId="13" fillId="15" borderId="1" xfId="0" applyNumberFormat="1" applyFont="1" applyFill="1" applyBorder="1">
      <alignment vertical="center"/>
    </xf>
    <xf numFmtId="0" fontId="13" fillId="0" borderId="7" xfId="0" applyFont="1" applyBorder="1" applyAlignment="1">
      <alignment horizontal="right" vertical="center"/>
    </xf>
    <xf numFmtId="0" fontId="13" fillId="0" borderId="39" xfId="0" applyFont="1" applyBorder="1" applyAlignment="1">
      <alignment horizontal="left" vertical="center"/>
    </xf>
    <xf numFmtId="0" fontId="13" fillId="0" borderId="50" xfId="0" applyFont="1" applyBorder="1" applyAlignment="1">
      <alignment horizontal="left" vertical="center"/>
    </xf>
    <xf numFmtId="0" fontId="13" fillId="0" borderId="58" xfId="0" applyFont="1" applyBorder="1" applyAlignment="1">
      <alignment horizontal="left" vertical="center"/>
    </xf>
    <xf numFmtId="0" fontId="17" fillId="0" borderId="78" xfId="0" applyFont="1" applyBorder="1" applyAlignment="1">
      <alignment horizontal="right" vertical="center"/>
    </xf>
    <xf numFmtId="0" fontId="18" fillId="0" borderId="79" xfId="0" applyFont="1" applyBorder="1" applyAlignment="1">
      <alignment horizontal="right" vertical="center"/>
    </xf>
    <xf numFmtId="0" fontId="18" fillId="0" borderId="80" xfId="0" applyFont="1" applyBorder="1" applyAlignment="1">
      <alignment horizontal="right" vertical="center"/>
    </xf>
    <xf numFmtId="0" fontId="29" fillId="2" borderId="13" xfId="0" applyFont="1" applyFill="1" applyBorder="1" applyAlignment="1">
      <alignment horizontal="right" vertical="center"/>
    </xf>
    <xf numFmtId="0" fontId="29" fillId="2" borderId="56" xfId="0" applyFont="1" applyFill="1" applyBorder="1" applyAlignment="1">
      <alignment horizontal="center" vertical="center"/>
    </xf>
    <xf numFmtId="0" fontId="0" fillId="17" borderId="0" xfId="0" applyFill="1">
      <alignment vertical="center"/>
    </xf>
    <xf numFmtId="178" fontId="13" fillId="4" borderId="1" xfId="0" applyNumberFormat="1" applyFont="1" applyFill="1" applyBorder="1" applyAlignment="1">
      <alignment horizontal="right" vertical="center"/>
    </xf>
    <xf numFmtId="0" fontId="13" fillId="2" borderId="23" xfId="0" applyFont="1" applyFill="1" applyBorder="1">
      <alignment vertical="center"/>
    </xf>
    <xf numFmtId="0" fontId="17" fillId="0" borderId="0" xfId="0" applyFont="1" applyAlignment="1">
      <alignment horizontal="center"/>
    </xf>
    <xf numFmtId="0" fontId="17" fillId="0" borderId="0" xfId="0" applyFont="1" applyAlignment="1">
      <alignment horizontal="center" vertical="top"/>
    </xf>
    <xf numFmtId="0" fontId="18" fillId="0" borderId="34" xfId="0" applyFont="1" applyBorder="1" applyAlignment="1">
      <alignment horizontal="right" vertical="center"/>
    </xf>
    <xf numFmtId="0" fontId="13" fillId="0" borderId="35" xfId="0" applyFont="1" applyBorder="1" applyAlignment="1">
      <alignment horizontal="left" vertical="center"/>
    </xf>
    <xf numFmtId="0" fontId="18" fillId="0" borderId="48" xfId="0" applyFont="1" applyBorder="1" applyAlignment="1">
      <alignment horizontal="right" vertical="center"/>
    </xf>
    <xf numFmtId="14" fontId="13" fillId="0" borderId="0" xfId="0" applyNumberFormat="1" applyFont="1" applyAlignment="1">
      <alignment horizontal="center" vertical="center"/>
    </xf>
    <xf numFmtId="0" fontId="18" fillId="0" borderId="78" xfId="0" applyFont="1" applyBorder="1" applyAlignment="1">
      <alignment horizontal="right" vertical="center"/>
    </xf>
    <xf numFmtId="0" fontId="17" fillId="0" borderId="0" xfId="0" quotePrefix="1" applyFont="1" applyAlignment="1">
      <alignment vertical="top"/>
    </xf>
    <xf numFmtId="0" fontId="17" fillId="0" borderId="0" xfId="0" applyFont="1" applyAlignment="1">
      <alignment horizontal="right" vertical="top"/>
    </xf>
    <xf numFmtId="0" fontId="18" fillId="20" borderId="74" xfId="0" applyFont="1" applyFill="1" applyBorder="1">
      <alignment vertical="center"/>
    </xf>
    <xf numFmtId="0" fontId="18" fillId="20" borderId="59" xfId="0" applyFont="1" applyFill="1" applyBorder="1">
      <alignment vertical="center"/>
    </xf>
    <xf numFmtId="0" fontId="18" fillId="20" borderId="40" xfId="0" applyFont="1" applyFill="1" applyBorder="1">
      <alignment vertical="center"/>
    </xf>
    <xf numFmtId="0" fontId="18" fillId="20" borderId="33" xfId="0" applyFont="1" applyFill="1" applyBorder="1">
      <alignment vertical="center"/>
    </xf>
    <xf numFmtId="0" fontId="18" fillId="20" borderId="0" xfId="0" applyFont="1" applyFill="1">
      <alignment vertical="center"/>
    </xf>
    <xf numFmtId="0" fontId="18" fillId="20" borderId="28" xfId="0" applyFont="1" applyFill="1" applyBorder="1">
      <alignment vertical="center"/>
    </xf>
    <xf numFmtId="0" fontId="18" fillId="20" borderId="36" xfId="0" applyFont="1" applyFill="1" applyBorder="1">
      <alignment vertical="center"/>
    </xf>
    <xf numFmtId="0" fontId="18" fillId="20" borderId="54" xfId="0" applyFont="1" applyFill="1" applyBorder="1">
      <alignment vertical="center"/>
    </xf>
    <xf numFmtId="0" fontId="61" fillId="20" borderId="54" xfId="0" applyFont="1" applyFill="1" applyBorder="1" applyAlignment="1">
      <alignment horizontal="right" vertical="center"/>
    </xf>
    <xf numFmtId="0" fontId="18" fillId="20" borderId="55" xfId="0" applyFont="1" applyFill="1" applyBorder="1">
      <alignment vertical="center"/>
    </xf>
    <xf numFmtId="0" fontId="26" fillId="4" borderId="0" xfId="2" applyFont="1" applyFill="1" applyAlignment="1" applyProtection="1">
      <alignment horizontal="center" vertical="center"/>
    </xf>
    <xf numFmtId="0" fontId="18" fillId="2" borderId="39" xfId="0" applyFont="1" applyFill="1" applyBorder="1" applyProtection="1">
      <alignment vertical="center"/>
      <protection locked="0"/>
    </xf>
    <xf numFmtId="0" fontId="18" fillId="2" borderId="50" xfId="0" applyFont="1" applyFill="1" applyBorder="1" applyProtection="1">
      <alignment vertical="center"/>
      <protection locked="0"/>
    </xf>
    <xf numFmtId="0" fontId="18" fillId="2" borderId="58" xfId="0" applyFont="1" applyFill="1" applyBorder="1" applyProtection="1">
      <alignment vertical="center"/>
      <protection locked="0"/>
    </xf>
    <xf numFmtId="0" fontId="18" fillId="2" borderId="17" xfId="0" applyFont="1" applyFill="1" applyBorder="1" applyProtection="1">
      <alignment vertical="center"/>
      <protection locked="0"/>
    </xf>
    <xf numFmtId="0" fontId="18" fillId="2" borderId="51" xfId="0" applyFont="1" applyFill="1" applyBorder="1" applyProtection="1">
      <alignment vertical="center"/>
      <protection locked="0"/>
    </xf>
    <xf numFmtId="0" fontId="18" fillId="2" borderId="57" xfId="0" applyFont="1" applyFill="1" applyBorder="1" applyProtection="1">
      <alignment vertical="center"/>
      <protection locked="0"/>
    </xf>
    <xf numFmtId="176" fontId="17" fillId="19" borderId="81" xfId="0" applyNumberFormat="1" applyFont="1" applyFill="1" applyBorder="1" applyAlignment="1">
      <alignment horizontal="right" vertical="top"/>
    </xf>
    <xf numFmtId="0" fontId="13" fillId="16" borderId="7" xfId="0" applyFont="1" applyFill="1" applyBorder="1">
      <alignment vertical="center"/>
    </xf>
    <xf numFmtId="0" fontId="13" fillId="16" borderId="8" xfId="0" applyFont="1" applyFill="1" applyBorder="1">
      <alignment vertical="center"/>
    </xf>
    <xf numFmtId="0" fontId="13" fillId="16" borderId="9" xfId="0" applyFont="1" applyFill="1" applyBorder="1">
      <alignment vertical="center"/>
    </xf>
    <xf numFmtId="0" fontId="13" fillId="16" borderId="12" xfId="0" applyFont="1" applyFill="1" applyBorder="1">
      <alignment vertical="center"/>
    </xf>
    <xf numFmtId="0" fontId="13" fillId="16" borderId="13" xfId="0" applyFont="1" applyFill="1" applyBorder="1">
      <alignment vertical="center"/>
    </xf>
    <xf numFmtId="0" fontId="13" fillId="16" borderId="14" xfId="0" applyFont="1" applyFill="1" applyBorder="1">
      <alignment vertical="center"/>
    </xf>
    <xf numFmtId="178" fontId="0" fillId="4" borderId="1" xfId="0" applyNumberFormat="1" applyFill="1" applyBorder="1" applyAlignment="1">
      <alignment horizontal="right" vertical="center"/>
    </xf>
    <xf numFmtId="0" fontId="13" fillId="0" borderId="34" xfId="0" applyFont="1" applyBorder="1" applyAlignment="1">
      <alignment horizontal="right" vertical="center" wrapText="1"/>
    </xf>
    <xf numFmtId="0" fontId="18" fillId="0" borderId="45" xfId="0" applyFont="1" applyBorder="1" applyAlignment="1">
      <alignment horizontal="center" vertical="center"/>
    </xf>
    <xf numFmtId="0" fontId="18" fillId="0" borderId="83" xfId="0" applyFont="1" applyBorder="1" applyAlignment="1">
      <alignment horizontal="center" vertical="top"/>
    </xf>
    <xf numFmtId="0" fontId="16" fillId="0" borderId="7" xfId="0" applyFont="1" applyBorder="1" applyAlignment="1">
      <alignment horizontal="right" vertical="center"/>
    </xf>
    <xf numFmtId="0" fontId="16" fillId="0" borderId="32" xfId="0" applyFont="1" applyBorder="1" applyAlignment="1">
      <alignment horizontal="right" vertical="center"/>
    </xf>
    <xf numFmtId="0" fontId="16" fillId="0" borderId="12" xfId="0" applyFont="1" applyBorder="1" applyAlignment="1">
      <alignment horizontal="right" vertical="center"/>
    </xf>
    <xf numFmtId="0" fontId="16" fillId="0" borderId="47" xfId="0" applyFont="1" applyBorder="1">
      <alignment vertical="center"/>
    </xf>
    <xf numFmtId="0" fontId="68" fillId="0" borderId="60" xfId="0" applyFont="1" applyBorder="1" applyAlignment="1">
      <alignment horizontal="center" vertical="center"/>
    </xf>
    <xf numFmtId="0" fontId="68" fillId="0" borderId="75" xfId="0" applyFont="1" applyBorder="1" applyAlignment="1">
      <alignment horizontal="center" vertical="center"/>
    </xf>
    <xf numFmtId="0" fontId="68" fillId="0" borderId="0" xfId="0" applyFont="1" applyAlignment="1">
      <alignment horizontal="center" vertical="center"/>
    </xf>
    <xf numFmtId="0" fontId="13" fillId="2" borderId="32" xfId="0" applyFont="1" applyFill="1" applyBorder="1" applyAlignment="1" applyProtection="1">
      <alignment horizontal="right" vertical="center"/>
      <protection locked="0"/>
    </xf>
    <xf numFmtId="0" fontId="0" fillId="0" borderId="0" xfId="0" applyAlignment="1">
      <alignment horizontal="left" vertical="center"/>
    </xf>
    <xf numFmtId="0" fontId="0" fillId="0" borderId="29" xfId="0" applyBorder="1">
      <alignment vertical="center"/>
    </xf>
    <xf numFmtId="0" fontId="21" fillId="2" borderId="3" xfId="0" applyFont="1" applyFill="1" applyBorder="1">
      <alignment vertical="center"/>
    </xf>
    <xf numFmtId="0" fontId="37" fillId="2" borderId="3" xfId="0" applyFont="1" applyFill="1" applyBorder="1">
      <alignment vertical="center"/>
    </xf>
    <xf numFmtId="178" fontId="0" fillId="4" borderId="76" xfId="0" applyNumberFormat="1" applyFill="1" applyBorder="1" applyAlignment="1">
      <alignment horizontal="right" vertical="center"/>
    </xf>
    <xf numFmtId="0" fontId="18" fillId="0" borderId="0" xfId="0" applyFont="1" applyAlignment="1">
      <alignment vertical="top"/>
    </xf>
    <xf numFmtId="178" fontId="0" fillId="4" borderId="29" xfId="0" applyNumberFormat="1" applyFill="1" applyBorder="1" applyAlignment="1">
      <alignment horizontal="right" vertical="center"/>
    </xf>
    <xf numFmtId="0" fontId="18" fillId="15" borderId="1" xfId="0" applyFont="1" applyFill="1" applyBorder="1" applyAlignment="1">
      <alignment horizontal="right" vertical="center"/>
    </xf>
    <xf numFmtId="0" fontId="13" fillId="15" borderId="24" xfId="0" applyFont="1" applyFill="1" applyBorder="1">
      <alignment vertical="center"/>
    </xf>
    <xf numFmtId="0" fontId="13" fillId="21" borderId="1" xfId="0" applyFont="1" applyFill="1" applyBorder="1">
      <alignment vertical="center"/>
    </xf>
    <xf numFmtId="183" fontId="13" fillId="21" borderId="1" xfId="0" applyNumberFormat="1" applyFont="1" applyFill="1" applyBorder="1">
      <alignment vertical="center"/>
    </xf>
    <xf numFmtId="0" fontId="18" fillId="21" borderId="1" xfId="0" applyFont="1" applyFill="1" applyBorder="1" applyAlignment="1">
      <alignment horizontal="right" vertical="center"/>
    </xf>
    <xf numFmtId="0" fontId="13" fillId="21" borderId="29" xfId="0" applyFont="1" applyFill="1" applyBorder="1" applyAlignment="1">
      <alignment horizontal="center" vertical="center"/>
    </xf>
    <xf numFmtId="183" fontId="18" fillId="7" borderId="1" xfId="0" applyNumberFormat="1" applyFont="1" applyFill="1" applyBorder="1" applyAlignment="1">
      <alignment horizontal="center" vertical="center"/>
    </xf>
    <xf numFmtId="0" fontId="13" fillId="7" borderId="77" xfId="0" applyFont="1" applyFill="1" applyBorder="1">
      <alignment vertical="center"/>
    </xf>
    <xf numFmtId="0" fontId="13" fillId="7" borderId="24" xfId="0" applyFont="1" applyFill="1" applyBorder="1">
      <alignment vertical="center"/>
    </xf>
    <xf numFmtId="0" fontId="13" fillId="0" borderId="53" xfId="0" applyFont="1" applyBorder="1">
      <alignment vertical="center"/>
    </xf>
    <xf numFmtId="0" fontId="44" fillId="0" borderId="1" xfId="0" applyFont="1" applyBorder="1">
      <alignment vertical="center"/>
    </xf>
    <xf numFmtId="0" fontId="0" fillId="10" borderId="1" xfId="0" applyFill="1" applyBorder="1">
      <alignment vertical="center"/>
    </xf>
    <xf numFmtId="0" fontId="0" fillId="7" borderId="3" xfId="0" applyFill="1" applyBorder="1">
      <alignment vertical="center"/>
    </xf>
    <xf numFmtId="0" fontId="13" fillId="0" borderId="24" xfId="0" applyFont="1" applyBorder="1" applyAlignment="1">
      <alignment horizontal="center" vertical="center"/>
    </xf>
    <xf numFmtId="0" fontId="13" fillId="0" borderId="76" xfId="0" applyFont="1" applyBorder="1">
      <alignment vertical="center"/>
    </xf>
    <xf numFmtId="0" fontId="13" fillId="0" borderId="53" xfId="0" applyFont="1" applyBorder="1" applyAlignment="1">
      <alignment horizontal="center" vertical="center"/>
    </xf>
    <xf numFmtId="0" fontId="16" fillId="0" borderId="76" xfId="0" applyFont="1" applyBorder="1" applyAlignment="1">
      <alignment horizontal="center" vertical="center"/>
    </xf>
    <xf numFmtId="0" fontId="13" fillId="0" borderId="76" xfId="0" applyFont="1" applyBorder="1" applyAlignment="1">
      <alignment horizontal="center" vertical="center"/>
    </xf>
    <xf numFmtId="0" fontId="22" fillId="0" borderId="53" xfId="0" applyFont="1" applyBorder="1">
      <alignment vertical="center"/>
    </xf>
    <xf numFmtId="0" fontId="0" fillId="7" borderId="24" xfId="0" applyFill="1" applyBorder="1">
      <alignment vertical="center"/>
    </xf>
    <xf numFmtId="182" fontId="0" fillId="2" borderId="24" xfId="0" applyNumberFormat="1" applyFill="1" applyBorder="1">
      <alignment vertical="center"/>
    </xf>
    <xf numFmtId="0" fontId="0" fillId="0" borderId="53" xfId="0" applyBorder="1">
      <alignment vertical="center"/>
    </xf>
    <xf numFmtId="0" fontId="0" fillId="7" borderId="76" xfId="0" applyFill="1" applyBorder="1">
      <alignment vertical="center"/>
    </xf>
    <xf numFmtId="182" fontId="0" fillId="2" borderId="76" xfId="0" applyNumberFormat="1" applyFill="1" applyBorder="1">
      <alignment vertical="center"/>
    </xf>
    <xf numFmtId="0" fontId="0" fillId="7" borderId="53" xfId="0" applyFill="1" applyBorder="1">
      <alignment vertical="center"/>
    </xf>
    <xf numFmtId="0" fontId="39" fillId="0" borderId="53" xfId="0" applyFont="1" applyBorder="1">
      <alignment vertical="center"/>
    </xf>
    <xf numFmtId="0" fontId="69" fillId="0" borderId="0" xfId="0" applyFont="1">
      <alignment vertical="center"/>
    </xf>
    <xf numFmtId="0" fontId="70" fillId="0" borderId="1" xfId="0" applyFont="1" applyBorder="1">
      <alignment vertical="center"/>
    </xf>
    <xf numFmtId="176" fontId="17" fillId="19" borderId="88" xfId="0" applyNumberFormat="1" applyFont="1" applyFill="1" applyBorder="1" applyAlignment="1">
      <alignment horizontal="right" vertical="top"/>
    </xf>
    <xf numFmtId="180" fontId="13" fillId="2" borderId="9" xfId="0" applyNumberFormat="1" applyFont="1" applyFill="1" applyBorder="1" applyAlignment="1" applyProtection="1">
      <alignment horizontal="center" vertical="center"/>
      <protection locked="0"/>
    </xf>
    <xf numFmtId="180" fontId="13" fillId="0" borderId="35" xfId="0" applyNumberFormat="1" applyFont="1" applyBorder="1" applyAlignment="1">
      <alignment horizontal="center" vertical="center"/>
    </xf>
    <xf numFmtId="180" fontId="13" fillId="2" borderId="31" xfId="0" applyNumberFormat="1" applyFont="1" applyFill="1" applyBorder="1" applyAlignment="1" applyProtection="1">
      <alignment horizontal="center" vertical="center"/>
      <protection locked="0"/>
    </xf>
    <xf numFmtId="0" fontId="29" fillId="2" borderId="39" xfId="0" applyFont="1" applyFill="1" applyBorder="1" applyAlignment="1">
      <alignment horizontal="center" vertical="center"/>
    </xf>
    <xf numFmtId="0" fontId="19" fillId="2" borderId="0" xfId="0" applyFont="1" applyFill="1" applyAlignment="1">
      <alignment horizontal="center" vertical="center"/>
    </xf>
    <xf numFmtId="176" fontId="0" fillId="3" borderId="29" xfId="0" applyNumberFormat="1" applyFill="1" applyBorder="1">
      <alignment vertical="center"/>
    </xf>
    <xf numFmtId="176" fontId="0" fillId="3" borderId="3" xfId="0" applyNumberFormat="1" applyFill="1" applyBorder="1">
      <alignment vertical="center"/>
    </xf>
    <xf numFmtId="0" fontId="0" fillId="3" borderId="29" xfId="0" applyFill="1" applyBorder="1">
      <alignment vertical="center"/>
    </xf>
    <xf numFmtId="0" fontId="0" fillId="3" borderId="3" xfId="0" applyFill="1" applyBorder="1">
      <alignment vertical="center"/>
    </xf>
    <xf numFmtId="176" fontId="71" fillId="3" borderId="24" xfId="0" applyNumberFormat="1" applyFont="1" applyFill="1" applyBorder="1">
      <alignment vertical="center"/>
    </xf>
    <xf numFmtId="0" fontId="71" fillId="3" borderId="24" xfId="0" applyFont="1" applyFill="1" applyBorder="1">
      <alignment vertical="center"/>
    </xf>
    <xf numFmtId="0" fontId="0" fillId="0" borderId="2" xfId="0" applyBorder="1" applyAlignment="1">
      <alignment horizontal="right" vertical="center"/>
    </xf>
    <xf numFmtId="0" fontId="13" fillId="21" borderId="10" xfId="0" applyFont="1" applyFill="1" applyBorder="1">
      <alignment vertical="center"/>
    </xf>
    <xf numFmtId="0" fontId="13" fillId="21" borderId="11" xfId="0" applyFont="1" applyFill="1" applyBorder="1">
      <alignment vertical="center"/>
    </xf>
    <xf numFmtId="0" fontId="13" fillId="21" borderId="12" xfId="0" applyFont="1" applyFill="1" applyBorder="1">
      <alignment vertical="center"/>
    </xf>
    <xf numFmtId="0" fontId="13" fillId="21" borderId="13" xfId="0" applyFont="1" applyFill="1" applyBorder="1" applyAlignment="1">
      <alignment horizontal="center" vertical="center"/>
    </xf>
    <xf numFmtId="0" fontId="13" fillId="21" borderId="14" xfId="0" applyFont="1" applyFill="1" applyBorder="1">
      <alignment vertical="center"/>
    </xf>
    <xf numFmtId="176" fontId="0" fillId="7" borderId="1" xfId="0" applyNumberFormat="1" applyFill="1" applyBorder="1">
      <alignment vertical="center"/>
    </xf>
    <xf numFmtId="178" fontId="0" fillId="7" borderId="1" xfId="0" applyNumberFormat="1" applyFill="1" applyBorder="1" applyAlignment="1">
      <alignment horizontal="right" vertical="center"/>
    </xf>
    <xf numFmtId="0" fontId="17" fillId="3" borderId="1" xfId="0" applyFont="1" applyFill="1" applyBorder="1" applyAlignment="1">
      <alignment horizontal="right" vertical="center"/>
    </xf>
    <xf numFmtId="0" fontId="17" fillId="3" borderId="1" xfId="0" applyFont="1" applyFill="1" applyBorder="1">
      <alignment vertical="center"/>
    </xf>
    <xf numFmtId="176" fontId="17" fillId="19" borderId="82" xfId="0" applyNumberFormat="1" applyFont="1" applyFill="1" applyBorder="1" applyAlignment="1">
      <alignment horizontal="right"/>
    </xf>
    <xf numFmtId="0" fontId="18" fillId="2" borderId="89" xfId="0" applyFont="1" applyFill="1" applyBorder="1" applyProtection="1">
      <alignment vertical="center"/>
      <protection locked="0"/>
    </xf>
    <xf numFmtId="0" fontId="18" fillId="20" borderId="90" xfId="0" applyFont="1" applyFill="1" applyBorder="1" applyAlignment="1">
      <alignment horizontal="right" vertical="center"/>
    </xf>
    <xf numFmtId="0" fontId="18" fillId="20" borderId="90" xfId="0" applyFont="1" applyFill="1" applyBorder="1" applyProtection="1">
      <alignment vertical="center"/>
      <protection locked="0"/>
    </xf>
    <xf numFmtId="0" fontId="18" fillId="20" borderId="91" xfId="0" applyFont="1" applyFill="1" applyBorder="1" applyAlignment="1">
      <alignment horizontal="right" vertical="center"/>
    </xf>
    <xf numFmtId="0" fontId="18" fillId="20" borderId="91" xfId="0" applyFont="1" applyFill="1" applyBorder="1" applyProtection="1">
      <alignment vertical="center"/>
      <protection locked="0"/>
    </xf>
    <xf numFmtId="14" fontId="13" fillId="20" borderId="1" xfId="0" applyNumberFormat="1" applyFont="1" applyFill="1" applyBorder="1" applyAlignment="1" applyProtection="1">
      <alignment horizontal="center" vertical="center"/>
      <protection locked="0"/>
    </xf>
    <xf numFmtId="0" fontId="13" fillId="8" borderId="1" xfId="0" applyFont="1" applyFill="1" applyBorder="1">
      <alignment vertical="center"/>
    </xf>
    <xf numFmtId="0" fontId="19" fillId="8" borderId="1" xfId="0" applyFont="1" applyFill="1" applyBorder="1">
      <alignment vertical="center"/>
    </xf>
    <xf numFmtId="0" fontId="13" fillId="8" borderId="0" xfId="0" applyFont="1" applyFill="1">
      <alignment vertical="center"/>
    </xf>
    <xf numFmtId="0" fontId="59" fillId="2" borderId="29" xfId="0" applyFont="1" applyFill="1" applyBorder="1">
      <alignment vertical="center"/>
    </xf>
    <xf numFmtId="0" fontId="59" fillId="2" borderId="3" xfId="0" applyFont="1" applyFill="1" applyBorder="1">
      <alignment vertical="center"/>
    </xf>
    <xf numFmtId="0" fontId="59" fillId="2" borderId="0" xfId="0" applyFont="1" applyFill="1">
      <alignment vertical="center"/>
    </xf>
    <xf numFmtId="0" fontId="59" fillId="2" borderId="24" xfId="0" applyFont="1" applyFill="1" applyBorder="1">
      <alignment vertical="center"/>
    </xf>
    <xf numFmtId="0" fontId="13" fillId="0" borderId="10" xfId="0" applyFont="1" applyBorder="1" applyAlignment="1">
      <alignment horizontal="right" vertical="center"/>
    </xf>
    <xf numFmtId="0" fontId="13" fillId="0" borderId="12" xfId="0" applyFont="1" applyBorder="1" applyAlignment="1">
      <alignment horizontal="right" vertical="center"/>
    </xf>
    <xf numFmtId="0" fontId="41" fillId="2" borderId="33" xfId="0" applyFont="1" applyFill="1" applyBorder="1" applyAlignment="1">
      <alignment horizontal="left" vertical="center"/>
    </xf>
    <xf numFmtId="181" fontId="13" fillId="0" borderId="0" xfId="0" applyNumberFormat="1" applyFont="1" applyAlignment="1">
      <alignment horizontal="center" vertical="center"/>
    </xf>
    <xf numFmtId="0" fontId="18" fillId="0" borderId="73" xfId="0" applyFont="1" applyBorder="1" applyAlignment="1">
      <alignment horizontal="center" vertical="center"/>
    </xf>
    <xf numFmtId="0" fontId="62" fillId="2" borderId="29" xfId="0" applyFont="1" applyFill="1" applyBorder="1">
      <alignment vertical="center"/>
    </xf>
    <xf numFmtId="0" fontId="62" fillId="2" borderId="3" xfId="0" applyFont="1" applyFill="1" applyBorder="1">
      <alignment vertical="center"/>
    </xf>
    <xf numFmtId="0" fontId="0" fillId="2" borderId="33" xfId="0" applyFill="1" applyBorder="1" applyAlignment="1">
      <alignment horizontal="center" vertical="center"/>
    </xf>
    <xf numFmtId="0" fontId="0" fillId="9" borderId="7" xfId="0" applyFill="1" applyBorder="1">
      <alignment vertical="center"/>
    </xf>
    <xf numFmtId="0" fontId="0" fillId="9" borderId="8" xfId="0" applyFill="1" applyBorder="1">
      <alignment vertical="center"/>
    </xf>
    <xf numFmtId="0" fontId="0" fillId="9" borderId="9" xfId="0" applyFill="1" applyBorder="1">
      <alignment vertical="center"/>
    </xf>
    <xf numFmtId="176" fontId="0" fillId="2" borderId="3" xfId="0" applyNumberFormat="1" applyFill="1" applyBorder="1">
      <alignment vertical="center"/>
    </xf>
    <xf numFmtId="0" fontId="0" fillId="9" borderId="10" xfId="0" applyFill="1" applyBorder="1">
      <alignment vertical="center"/>
    </xf>
    <xf numFmtId="0" fontId="0" fillId="9" borderId="1" xfId="0" applyFill="1" applyBorder="1">
      <alignment vertical="center"/>
    </xf>
    <xf numFmtId="0" fontId="0" fillId="9" borderId="11" xfId="0" applyFill="1" applyBorder="1">
      <alignment vertical="center"/>
    </xf>
    <xf numFmtId="0" fontId="0" fillId="2" borderId="36" xfId="0" applyFill="1" applyBorder="1" applyAlignment="1">
      <alignment horizontal="center" vertical="center"/>
    </xf>
    <xf numFmtId="0" fontId="0" fillId="2" borderId="74" xfId="0" applyFill="1" applyBorder="1" applyAlignment="1">
      <alignment horizontal="center" vertical="center"/>
    </xf>
    <xf numFmtId="176" fontId="18" fillId="2" borderId="3" xfId="0" applyNumberFormat="1" applyFont="1" applyFill="1" applyBorder="1">
      <alignment vertical="center"/>
    </xf>
    <xf numFmtId="0" fontId="0" fillId="2" borderId="29" xfId="0" applyFill="1" applyBorder="1" applyAlignment="1">
      <alignment horizontal="center" vertical="center"/>
    </xf>
    <xf numFmtId="0" fontId="0" fillId="2" borderId="3" xfId="0" applyFill="1" applyBorder="1" applyAlignment="1">
      <alignment horizontal="center" vertical="center"/>
    </xf>
    <xf numFmtId="0" fontId="0" fillId="2" borderId="24" xfId="0" applyFill="1" applyBorder="1" applyAlignment="1">
      <alignment horizontal="center" vertical="center"/>
    </xf>
    <xf numFmtId="0" fontId="56" fillId="0" borderId="0" xfId="0" applyFont="1">
      <alignment vertical="center"/>
    </xf>
    <xf numFmtId="176" fontId="54" fillId="2" borderId="0" xfId="0" applyNumberFormat="1" applyFont="1" applyFill="1">
      <alignment vertical="center"/>
    </xf>
    <xf numFmtId="0" fontId="13" fillId="7" borderId="10" xfId="0" applyFont="1" applyFill="1" applyBorder="1" applyProtection="1">
      <alignment vertical="center"/>
      <protection locked="0"/>
    </xf>
    <xf numFmtId="0" fontId="13" fillId="7" borderId="1" xfId="0" applyFont="1" applyFill="1" applyBorder="1" applyProtection="1">
      <alignment vertical="center"/>
      <protection locked="0"/>
    </xf>
    <xf numFmtId="0" fontId="13" fillId="7" borderId="11" xfId="0" applyFont="1" applyFill="1" applyBorder="1" applyProtection="1">
      <alignment vertical="center"/>
      <protection locked="0"/>
    </xf>
    <xf numFmtId="0" fontId="72" fillId="0" borderId="0" xfId="0" applyFont="1">
      <alignment vertical="center"/>
    </xf>
    <xf numFmtId="0" fontId="74" fillId="0" borderId="0" xfId="0" applyFont="1">
      <alignment vertical="center"/>
    </xf>
    <xf numFmtId="0" fontId="0" fillId="0" borderId="0" xfId="0" applyAlignment="1">
      <alignment vertical="center" wrapText="1"/>
    </xf>
    <xf numFmtId="183" fontId="30" fillId="7" borderId="2" xfId="0" applyNumberFormat="1" applyFont="1" applyFill="1" applyBorder="1">
      <alignment vertical="center"/>
    </xf>
    <xf numFmtId="183" fontId="30" fillId="7" borderId="40" xfId="0" applyNumberFormat="1" applyFont="1" applyFill="1" applyBorder="1">
      <alignment vertical="center"/>
    </xf>
    <xf numFmtId="14" fontId="18" fillId="7" borderId="2" xfId="0" applyNumberFormat="1" applyFont="1" applyFill="1" applyBorder="1">
      <alignment vertical="center"/>
    </xf>
    <xf numFmtId="0" fontId="75" fillId="20" borderId="47" xfId="0" applyFont="1" applyFill="1" applyBorder="1">
      <alignment vertical="center"/>
    </xf>
    <xf numFmtId="0" fontId="13" fillId="0" borderId="74" xfId="0" applyFont="1" applyBorder="1">
      <alignment vertical="center"/>
    </xf>
    <xf numFmtId="0" fontId="18" fillId="0" borderId="29" xfId="0" applyFont="1" applyBorder="1" applyAlignment="1">
      <alignment horizontal="center" vertical="center"/>
    </xf>
    <xf numFmtId="183" fontId="30" fillId="0" borderId="40" xfId="0" applyNumberFormat="1" applyFont="1" applyBorder="1" applyAlignment="1">
      <alignment horizontal="right" vertical="center"/>
    </xf>
    <xf numFmtId="0" fontId="13" fillId="0" borderId="29" xfId="0" applyFont="1" applyBorder="1" applyAlignment="1">
      <alignment horizontal="center" vertical="center"/>
    </xf>
    <xf numFmtId="176" fontId="13" fillId="4" borderId="1" xfId="0" applyNumberFormat="1" applyFont="1" applyFill="1" applyBorder="1">
      <alignment vertical="center"/>
    </xf>
    <xf numFmtId="0" fontId="0" fillId="0" borderId="15" xfId="0" applyBorder="1">
      <alignment vertical="center"/>
    </xf>
    <xf numFmtId="0" fontId="13" fillId="0" borderId="15" xfId="0" applyFont="1" applyBorder="1" applyAlignment="1">
      <alignment horizontal="left" vertical="center"/>
    </xf>
    <xf numFmtId="0" fontId="13" fillId="0" borderId="15" xfId="0" applyFont="1" applyBorder="1" applyAlignment="1">
      <alignment horizontal="center" vertical="center"/>
    </xf>
    <xf numFmtId="0" fontId="26" fillId="0" borderId="15" xfId="0" applyFont="1" applyBorder="1" applyAlignment="1">
      <alignment horizontal="center" vertical="center"/>
    </xf>
    <xf numFmtId="0" fontId="68" fillId="2" borderId="66" xfId="0" applyFont="1" applyFill="1" applyBorder="1" applyAlignment="1" applyProtection="1">
      <alignment horizontal="center" vertical="center"/>
      <protection locked="0"/>
    </xf>
    <xf numFmtId="0" fontId="68" fillId="2" borderId="67" xfId="0" applyFont="1" applyFill="1" applyBorder="1" applyAlignment="1" applyProtection="1">
      <alignment horizontal="center" vertical="center"/>
      <protection locked="0"/>
    </xf>
    <xf numFmtId="0" fontId="68" fillId="2" borderId="6" xfId="0" applyFont="1" applyFill="1" applyBorder="1" applyAlignment="1" applyProtection="1">
      <alignment horizontal="center" vertical="center"/>
      <protection locked="0"/>
    </xf>
    <xf numFmtId="0" fontId="68" fillId="2" borderId="68" xfId="0" applyFont="1" applyFill="1" applyBorder="1" applyAlignment="1" applyProtection="1">
      <alignment horizontal="center" vertical="center"/>
      <protection locked="0"/>
    </xf>
    <xf numFmtId="0" fontId="20" fillId="2" borderId="43"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vertical="center"/>
      <protection locked="0"/>
    </xf>
    <xf numFmtId="0" fontId="20" fillId="2" borderId="68"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20" fillId="2" borderId="67" xfId="0" applyFont="1" applyFill="1" applyBorder="1" applyAlignment="1" applyProtection="1">
      <alignment horizontal="center" vertical="center"/>
      <protection locked="0"/>
    </xf>
    <xf numFmtId="0" fontId="20" fillId="2" borderId="6" xfId="0" applyFont="1" applyFill="1" applyBorder="1" applyAlignment="1" applyProtection="1">
      <alignment horizontal="center" vertical="center"/>
      <protection locked="0"/>
    </xf>
    <xf numFmtId="0" fontId="78" fillId="0" borderId="0" xfId="0" applyFont="1" applyProtection="1">
      <alignment vertical="center"/>
      <protection locked="0"/>
    </xf>
    <xf numFmtId="0" fontId="34" fillId="0" borderId="0" xfId="0" applyFont="1" applyProtection="1">
      <alignment vertical="center"/>
      <protection locked="0"/>
    </xf>
    <xf numFmtId="0" fontId="76" fillId="6" borderId="0" xfId="0" applyFont="1" applyFill="1">
      <alignment vertical="center"/>
    </xf>
    <xf numFmtId="0" fontId="13" fillId="22" borderId="1" xfId="0" applyFont="1" applyFill="1" applyBorder="1">
      <alignment vertical="center"/>
    </xf>
    <xf numFmtId="0" fontId="13" fillId="22" borderId="7" xfId="0" applyFont="1" applyFill="1" applyBorder="1">
      <alignment vertical="center"/>
    </xf>
    <xf numFmtId="0" fontId="13" fillId="22" borderId="1" xfId="0" applyFont="1" applyFill="1" applyBorder="1" applyAlignment="1">
      <alignment horizontal="center" vertical="center"/>
    </xf>
    <xf numFmtId="0" fontId="13" fillId="22" borderId="76" xfId="0" applyFont="1" applyFill="1" applyBorder="1" applyAlignment="1">
      <alignment horizontal="center" vertical="center"/>
    </xf>
    <xf numFmtId="0" fontId="13" fillId="22" borderId="24" xfId="0" applyFont="1" applyFill="1" applyBorder="1" applyAlignment="1">
      <alignment horizontal="center" vertical="center"/>
    </xf>
    <xf numFmtId="0" fontId="22" fillId="0" borderId="0" xfId="0" applyFont="1" applyAlignment="1">
      <alignment horizontal="center" vertical="center"/>
    </xf>
    <xf numFmtId="0" fontId="13" fillId="22" borderId="10" xfId="0" applyFont="1" applyFill="1" applyBorder="1">
      <alignment vertical="center"/>
    </xf>
    <xf numFmtId="0" fontId="13" fillId="22" borderId="11" xfId="0" applyFont="1" applyFill="1" applyBorder="1">
      <alignment vertical="center"/>
    </xf>
    <xf numFmtId="0" fontId="13" fillId="22" borderId="51" xfId="0" applyFont="1" applyFill="1" applyBorder="1" applyAlignment="1">
      <alignment horizontal="right" vertical="center"/>
    </xf>
    <xf numFmtId="0" fontId="13" fillId="22" borderId="29" xfId="0" applyFont="1" applyFill="1" applyBorder="1">
      <alignment vertical="center"/>
    </xf>
    <xf numFmtId="0" fontId="19" fillId="22" borderId="1" xfId="0" applyFont="1" applyFill="1" applyBorder="1" applyAlignment="1">
      <alignment horizontal="left" vertical="center"/>
    </xf>
    <xf numFmtId="0" fontId="19" fillId="22" borderId="29" xfId="0" applyFont="1" applyFill="1" applyBorder="1" applyAlignment="1">
      <alignment horizontal="left" vertical="center"/>
    </xf>
    <xf numFmtId="0" fontId="13" fillId="22" borderId="0" xfId="0" applyFont="1" applyFill="1">
      <alignment vertical="center"/>
    </xf>
    <xf numFmtId="0" fontId="19" fillId="22" borderId="0" xfId="0" applyFont="1" applyFill="1">
      <alignment vertical="center"/>
    </xf>
    <xf numFmtId="0" fontId="18" fillId="22" borderId="0" xfId="0" applyFont="1" applyFill="1">
      <alignment vertical="center"/>
    </xf>
    <xf numFmtId="0" fontId="13" fillId="2" borderId="40" xfId="0" applyFont="1" applyFill="1" applyBorder="1">
      <alignment vertical="center"/>
    </xf>
    <xf numFmtId="0" fontId="18" fillId="2" borderId="55" xfId="0" applyFont="1" applyFill="1" applyBorder="1">
      <alignment vertical="center"/>
    </xf>
    <xf numFmtId="0" fontId="19" fillId="0" borderId="0" xfId="0" applyFont="1" applyAlignment="1">
      <alignment horizontal="right" vertical="center"/>
    </xf>
    <xf numFmtId="0" fontId="19" fillId="22" borderId="0" xfId="0" applyFont="1" applyFill="1" applyAlignment="1">
      <alignment vertical="top"/>
    </xf>
    <xf numFmtId="0" fontId="13" fillId="0" borderId="30" xfId="0" applyFont="1" applyBorder="1">
      <alignment vertical="center"/>
    </xf>
    <xf numFmtId="176" fontId="0" fillId="7" borderId="0" xfId="0" applyNumberFormat="1" applyFill="1" applyAlignment="1">
      <alignment horizontal="right" vertical="center"/>
    </xf>
    <xf numFmtId="0" fontId="17" fillId="0" borderId="15" xfId="0" applyFont="1" applyBorder="1" applyAlignment="1">
      <alignment horizontal="left" vertical="center"/>
    </xf>
    <xf numFmtId="0" fontId="13" fillId="23" borderId="0" xfId="0" applyFont="1" applyFill="1" applyAlignment="1">
      <alignment horizontal="center" vertical="center"/>
    </xf>
    <xf numFmtId="0" fontId="13" fillId="23" borderId="1" xfId="0" applyFont="1" applyFill="1" applyBorder="1" applyAlignment="1">
      <alignment horizontal="center" vertical="center"/>
    </xf>
    <xf numFmtId="0" fontId="13" fillId="23" borderId="30" xfId="0" applyFont="1" applyFill="1" applyBorder="1">
      <alignment vertical="center"/>
    </xf>
    <xf numFmtId="0" fontId="0" fillId="23" borderId="1" xfId="0" applyFill="1" applyBorder="1">
      <alignment vertical="center"/>
    </xf>
    <xf numFmtId="0" fontId="13" fillId="0" borderId="15" xfId="0" applyFont="1" applyBorder="1" applyAlignment="1">
      <alignment horizontal="right" vertical="center"/>
    </xf>
    <xf numFmtId="0" fontId="75" fillId="0" borderId="15" xfId="0" applyFont="1" applyBorder="1" applyAlignment="1">
      <alignment horizontal="left" vertical="center"/>
    </xf>
    <xf numFmtId="0" fontId="0" fillId="3" borderId="15" xfId="0" applyFill="1" applyBorder="1">
      <alignment vertical="center"/>
    </xf>
    <xf numFmtId="0" fontId="79" fillId="0" borderId="0" xfId="0" applyFont="1" applyAlignment="1">
      <alignment horizontal="center"/>
    </xf>
    <xf numFmtId="0" fontId="20" fillId="2" borderId="1" xfId="0" applyFont="1" applyFill="1" applyBorder="1" applyAlignment="1" applyProtection="1">
      <alignment horizontal="center"/>
      <protection locked="0"/>
    </xf>
    <xf numFmtId="0" fontId="3" fillId="17" borderId="0" xfId="0" applyFont="1" applyFill="1" applyAlignment="1">
      <alignment horizontal="right" vertical="center"/>
    </xf>
    <xf numFmtId="179" fontId="13" fillId="24" borderId="1" xfId="0" applyNumberFormat="1" applyFont="1" applyFill="1" applyBorder="1" applyAlignment="1">
      <alignment horizontal="center" vertical="center"/>
    </xf>
    <xf numFmtId="0" fontId="80" fillId="0" borderId="1" xfId="0" applyFont="1" applyBorder="1" applyAlignment="1">
      <alignment horizontal="right" vertical="center"/>
    </xf>
    <xf numFmtId="0" fontId="80" fillId="0" borderId="1" xfId="0" applyFont="1" applyBorder="1">
      <alignment vertical="center"/>
    </xf>
    <xf numFmtId="0" fontId="81" fillId="0" borderId="0" xfId="0" applyFont="1">
      <alignment vertical="center"/>
    </xf>
    <xf numFmtId="0" fontId="82" fillId="0" borderId="0" xfId="0" applyFont="1">
      <alignment vertical="center"/>
    </xf>
    <xf numFmtId="0" fontId="83" fillId="0" borderId="0" xfId="0" applyFont="1">
      <alignment vertical="center"/>
    </xf>
    <xf numFmtId="0" fontId="78" fillId="0" borderId="0" xfId="0" applyFont="1">
      <alignment vertical="center"/>
    </xf>
    <xf numFmtId="0" fontId="37" fillId="9" borderId="0" xfId="0" applyFont="1" applyFill="1">
      <alignment vertical="center"/>
    </xf>
    <xf numFmtId="0" fontId="83" fillId="9" borderId="0" xfId="0" applyFont="1" applyFill="1">
      <alignment vertical="center"/>
    </xf>
    <xf numFmtId="0" fontId="37" fillId="9" borderId="0" xfId="0" applyFont="1" applyFill="1" applyAlignment="1">
      <alignment horizontal="center" vertical="center"/>
    </xf>
    <xf numFmtId="0" fontId="16" fillId="9" borderId="0" xfId="0" applyFont="1" applyFill="1" applyAlignment="1">
      <alignment horizontal="left" vertical="center"/>
    </xf>
    <xf numFmtId="0" fontId="16" fillId="9" borderId="0" xfId="0" applyFont="1" applyFill="1">
      <alignment vertical="center"/>
    </xf>
    <xf numFmtId="0" fontId="22" fillId="9" borderId="0" xfId="0" applyFont="1" applyFill="1">
      <alignment vertical="center"/>
    </xf>
    <xf numFmtId="0" fontId="17" fillId="0" borderId="59" xfId="0" applyFont="1" applyBorder="1" applyAlignment="1">
      <alignment horizontal="center" vertical="top"/>
    </xf>
    <xf numFmtId="0" fontId="13" fillId="25" borderId="1" xfId="0" applyFont="1" applyFill="1" applyBorder="1">
      <alignment vertical="center"/>
    </xf>
    <xf numFmtId="0" fontId="19" fillId="0" borderId="20" xfId="0" applyFont="1" applyBorder="1" applyAlignment="1">
      <alignment horizontal="right" vertical="center"/>
    </xf>
    <xf numFmtId="0" fontId="19" fillId="0" borderId="15" xfId="0" applyFont="1" applyBorder="1" applyAlignment="1">
      <alignment horizontal="right" vertical="center"/>
    </xf>
    <xf numFmtId="0" fontId="0" fillId="25" borderId="1" xfId="0" applyFill="1" applyBorder="1">
      <alignment vertical="center"/>
    </xf>
    <xf numFmtId="0" fontId="84" fillId="0" borderId="0" xfId="0" applyFont="1">
      <alignment vertical="center"/>
    </xf>
    <xf numFmtId="182" fontId="0" fillId="25" borderId="0" xfId="0" applyNumberFormat="1" applyFill="1">
      <alignment vertical="center"/>
    </xf>
    <xf numFmtId="0" fontId="41" fillId="25" borderId="1" xfId="0" applyFont="1" applyFill="1" applyBorder="1">
      <alignment vertical="center"/>
    </xf>
    <xf numFmtId="182" fontId="0" fillId="25" borderId="1" xfId="0" applyNumberFormat="1" applyFill="1" applyBorder="1">
      <alignment vertical="center"/>
    </xf>
    <xf numFmtId="0" fontId="0" fillId="25" borderId="0" xfId="0" applyFill="1">
      <alignment vertical="center"/>
    </xf>
    <xf numFmtId="0" fontId="85" fillId="0" borderId="0" xfId="0" applyFont="1">
      <alignment vertical="center"/>
    </xf>
    <xf numFmtId="0" fontId="13" fillId="7" borderId="12" xfId="0" applyFont="1" applyFill="1" applyBorder="1" applyProtection="1">
      <alignment vertical="center"/>
      <protection locked="0"/>
    </xf>
    <xf numFmtId="0" fontId="13" fillId="7" borderId="13" xfId="0" applyFont="1" applyFill="1" applyBorder="1" applyProtection="1">
      <alignment vertical="center"/>
      <protection locked="0"/>
    </xf>
    <xf numFmtId="0" fontId="13" fillId="7" borderId="14" xfId="0" applyFont="1" applyFill="1" applyBorder="1" applyProtection="1">
      <alignment vertical="center"/>
      <protection locked="0"/>
    </xf>
    <xf numFmtId="0" fontId="13" fillId="26" borderId="4" xfId="0" applyFont="1" applyFill="1" applyBorder="1" applyProtection="1">
      <alignment vertical="center"/>
      <protection locked="0"/>
    </xf>
    <xf numFmtId="0" fontId="13" fillId="26" borderId="5" xfId="0" applyFont="1" applyFill="1" applyBorder="1" applyAlignment="1" applyProtection="1">
      <alignment horizontal="center" vertical="center"/>
      <protection locked="0"/>
    </xf>
    <xf numFmtId="0" fontId="13" fillId="26" borderId="6" xfId="0" applyFont="1" applyFill="1" applyBorder="1" applyProtection="1">
      <alignment vertical="center"/>
      <protection locked="0"/>
    </xf>
    <xf numFmtId="0" fontId="13" fillId="9" borderId="1" xfId="0" applyFont="1" applyFill="1" applyBorder="1">
      <alignment vertical="center"/>
    </xf>
    <xf numFmtId="0" fontId="13" fillId="9" borderId="1" xfId="0" applyFont="1" applyFill="1" applyBorder="1" applyAlignment="1">
      <alignment horizontal="left" vertical="center"/>
    </xf>
    <xf numFmtId="0" fontId="13" fillId="9" borderId="12" xfId="0" applyFont="1" applyFill="1" applyBorder="1">
      <alignment vertical="center"/>
    </xf>
    <xf numFmtId="0" fontId="13" fillId="9" borderId="13" xfId="0" applyFont="1" applyFill="1" applyBorder="1">
      <alignment vertical="center"/>
    </xf>
    <xf numFmtId="0" fontId="13" fillId="9" borderId="14" xfId="0" applyFont="1" applyFill="1" applyBorder="1">
      <alignment vertical="center"/>
    </xf>
    <xf numFmtId="0" fontId="13" fillId="14" borderId="7" xfId="0" applyFont="1" applyFill="1" applyBorder="1">
      <alignment vertical="center"/>
    </xf>
    <xf numFmtId="0" fontId="13" fillId="14" borderId="8" xfId="0" applyFont="1" applyFill="1" applyBorder="1">
      <alignment vertical="center"/>
    </xf>
    <xf numFmtId="0" fontId="13" fillId="14" borderId="9" xfId="0" applyFont="1" applyFill="1" applyBorder="1">
      <alignment vertical="center"/>
    </xf>
    <xf numFmtId="0" fontId="13" fillId="14" borderId="12" xfId="0" applyFont="1" applyFill="1" applyBorder="1">
      <alignment vertical="center"/>
    </xf>
    <xf numFmtId="0" fontId="13" fillId="14" borderId="13" xfId="0" applyFont="1" applyFill="1" applyBorder="1">
      <alignment vertical="center"/>
    </xf>
    <xf numFmtId="0" fontId="13" fillId="14" borderId="14" xfId="0" applyFont="1" applyFill="1" applyBorder="1">
      <alignment vertical="center"/>
    </xf>
    <xf numFmtId="0" fontId="13" fillId="14" borderId="32" xfId="0" applyFont="1" applyFill="1" applyBorder="1">
      <alignment vertical="center"/>
    </xf>
    <xf numFmtId="0" fontId="13" fillId="14" borderId="24" xfId="0" applyFont="1" applyFill="1" applyBorder="1">
      <alignment vertical="center"/>
    </xf>
    <xf numFmtId="0" fontId="13" fillId="14" borderId="31" xfId="0" applyFont="1" applyFill="1" applyBorder="1">
      <alignment vertical="center"/>
    </xf>
    <xf numFmtId="0" fontId="13" fillId="22" borderId="8" xfId="0" applyFont="1" applyFill="1" applyBorder="1">
      <alignment vertical="center"/>
    </xf>
    <xf numFmtId="0" fontId="13" fillId="22" borderId="9" xfId="0" applyFont="1" applyFill="1" applyBorder="1">
      <alignment vertical="center"/>
    </xf>
    <xf numFmtId="0" fontId="13" fillId="22" borderId="32" xfId="0" applyFont="1" applyFill="1" applyBorder="1">
      <alignment vertical="center"/>
    </xf>
    <xf numFmtId="0" fontId="13" fillId="22" borderId="24" xfId="0" applyFont="1" applyFill="1" applyBorder="1">
      <alignment vertical="center"/>
    </xf>
    <xf numFmtId="0" fontId="13" fillId="22" borderId="31" xfId="0" applyFont="1" applyFill="1" applyBorder="1">
      <alignment vertical="center"/>
    </xf>
    <xf numFmtId="0" fontId="13" fillId="27" borderId="0" xfId="0" applyFont="1" applyFill="1">
      <alignment vertical="center"/>
    </xf>
    <xf numFmtId="0" fontId="13" fillId="0" borderId="26" xfId="0" applyFont="1" applyBorder="1">
      <alignment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26" borderId="30" xfId="0" applyFont="1" applyFill="1" applyBorder="1">
      <alignment vertical="center"/>
    </xf>
    <xf numFmtId="0" fontId="13" fillId="0" borderId="8" xfId="0" applyFont="1" applyBorder="1">
      <alignment vertical="center"/>
    </xf>
    <xf numFmtId="0" fontId="13" fillId="14" borderId="10" xfId="0" applyFont="1" applyFill="1" applyBorder="1">
      <alignment vertical="center"/>
    </xf>
    <xf numFmtId="0" fontId="13" fillId="14" borderId="11" xfId="0" applyFont="1" applyFill="1" applyBorder="1">
      <alignment vertical="center"/>
    </xf>
    <xf numFmtId="0" fontId="13" fillId="26" borderId="30" xfId="0" applyFont="1" applyFill="1" applyBorder="1" applyAlignment="1">
      <alignment horizontal="left" vertical="center"/>
    </xf>
    <xf numFmtId="0" fontId="13" fillId="0" borderId="40" xfId="0" applyFont="1" applyBorder="1">
      <alignment vertical="center"/>
    </xf>
    <xf numFmtId="0" fontId="13" fillId="0" borderId="28" xfId="0" applyFont="1" applyBorder="1">
      <alignment vertical="center"/>
    </xf>
    <xf numFmtId="0" fontId="13" fillId="0" borderId="55" xfId="0" applyFont="1" applyBorder="1">
      <alignment vertical="center"/>
    </xf>
    <xf numFmtId="0" fontId="13" fillId="26" borderId="70" xfId="0" applyFont="1" applyFill="1" applyBorder="1">
      <alignment vertical="center"/>
    </xf>
    <xf numFmtId="0" fontId="13" fillId="0" borderId="4" xfId="0" applyFont="1" applyBorder="1">
      <alignment vertical="center"/>
    </xf>
    <xf numFmtId="0" fontId="13" fillId="0" borderId="5" xfId="0" applyFont="1" applyBorder="1">
      <alignment vertical="center"/>
    </xf>
    <xf numFmtId="0" fontId="13" fillId="0" borderId="6" xfId="0" applyFont="1" applyBorder="1">
      <alignment vertical="center"/>
    </xf>
    <xf numFmtId="0" fontId="13" fillId="0" borderId="27" xfId="0" applyFont="1" applyBorder="1">
      <alignment vertical="center"/>
    </xf>
    <xf numFmtId="0" fontId="0" fillId="9" borderId="44" xfId="0" applyFill="1" applyBorder="1">
      <alignment vertical="center"/>
    </xf>
    <xf numFmtId="0" fontId="0" fillId="9" borderId="29" xfId="0" applyFill="1" applyBorder="1">
      <alignment vertical="center"/>
    </xf>
    <xf numFmtId="0" fontId="0" fillId="9" borderId="26" xfId="0" applyFill="1" applyBorder="1">
      <alignment vertical="center"/>
    </xf>
    <xf numFmtId="0" fontId="13" fillId="9" borderId="10" xfId="0" applyFont="1" applyFill="1" applyBorder="1">
      <alignment vertical="center"/>
    </xf>
    <xf numFmtId="0" fontId="13" fillId="9" borderId="11" xfId="0" applyFont="1" applyFill="1" applyBorder="1">
      <alignment vertical="center"/>
    </xf>
    <xf numFmtId="0" fontId="13" fillId="0" borderId="10" xfId="0" applyFont="1" applyBorder="1" applyAlignment="1">
      <alignment horizontal="center" vertical="center"/>
    </xf>
    <xf numFmtId="0" fontId="13" fillId="27" borderId="7" xfId="0" applyFont="1" applyFill="1" applyBorder="1">
      <alignment vertical="center"/>
    </xf>
    <xf numFmtId="0" fontId="13" fillId="27" borderId="72" xfId="0" applyFont="1" applyFill="1" applyBorder="1">
      <alignment vertical="center"/>
    </xf>
    <xf numFmtId="0" fontId="13" fillId="27" borderId="22" xfId="0" applyFont="1" applyFill="1" applyBorder="1">
      <alignment vertical="center"/>
    </xf>
    <xf numFmtId="0" fontId="13" fillId="27" borderId="25" xfId="0" applyFont="1" applyFill="1" applyBorder="1">
      <alignment vertical="center"/>
    </xf>
    <xf numFmtId="0" fontId="13" fillId="27" borderId="34" xfId="0" applyFont="1" applyFill="1" applyBorder="1">
      <alignment vertical="center"/>
    </xf>
    <xf numFmtId="0" fontId="13" fillId="27" borderId="15" xfId="0" applyFont="1" applyFill="1" applyBorder="1">
      <alignment vertical="center"/>
    </xf>
    <xf numFmtId="0" fontId="13" fillId="27" borderId="35" xfId="0" applyFont="1" applyFill="1" applyBorder="1">
      <alignment vertical="center"/>
    </xf>
    <xf numFmtId="0" fontId="17" fillId="0" borderId="41" xfId="0" applyFont="1" applyBorder="1" applyAlignment="1" applyProtection="1">
      <alignment horizontal="right" vertical="center"/>
      <protection locked="0"/>
    </xf>
    <xf numFmtId="0" fontId="23" fillId="0" borderId="71" xfId="0" applyFont="1" applyBorder="1" applyAlignment="1" applyProtection="1">
      <alignment horizontal="right" vertical="center"/>
      <protection locked="0"/>
    </xf>
    <xf numFmtId="0" fontId="13" fillId="0" borderId="74"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40" xfId="0" applyFont="1" applyBorder="1" applyAlignment="1" applyProtection="1">
      <alignment horizontal="left" vertical="center"/>
      <protection locked="0"/>
    </xf>
    <xf numFmtId="0" fontId="13" fillId="0" borderId="3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54" xfId="0" applyFont="1" applyBorder="1" applyAlignment="1" applyProtection="1">
      <alignment horizontal="left" vertical="center"/>
      <protection locked="0"/>
    </xf>
    <xf numFmtId="0" fontId="13" fillId="0" borderId="55" xfId="0" applyFont="1" applyBorder="1" applyAlignment="1" applyProtection="1">
      <alignment horizontal="left" vertical="center"/>
      <protection locked="0"/>
    </xf>
    <xf numFmtId="0" fontId="71" fillId="0" borderId="23" xfId="0" applyFont="1" applyBorder="1" applyAlignment="1"/>
    <xf numFmtId="0" fontId="71" fillId="0" borderId="51" xfId="0" applyFont="1" applyBorder="1" applyAlignment="1"/>
    <xf numFmtId="0" fontId="71" fillId="22" borderId="30" xfId="0" applyFont="1" applyFill="1" applyBorder="1" applyAlignment="1"/>
    <xf numFmtId="0" fontId="0" fillId="26" borderId="0" xfId="0" applyFill="1" applyAlignment="1">
      <alignment horizontal="center" vertical="center"/>
    </xf>
    <xf numFmtId="0" fontId="13" fillId="7" borderId="8" xfId="0" applyFont="1" applyFill="1" applyBorder="1" applyProtection="1">
      <alignment vertical="center"/>
      <protection locked="0"/>
    </xf>
    <xf numFmtId="0" fontId="13" fillId="7" borderId="9" xfId="0" applyFont="1" applyFill="1" applyBorder="1" applyProtection="1">
      <alignment vertical="center"/>
      <protection locked="0"/>
    </xf>
    <xf numFmtId="0" fontId="13" fillId="7" borderId="32" xfId="0" applyFont="1" applyFill="1" applyBorder="1" applyProtection="1">
      <alignment vertical="center"/>
      <protection locked="0"/>
    </xf>
    <xf numFmtId="0" fontId="13" fillId="7" borderId="31" xfId="0" applyFont="1" applyFill="1" applyBorder="1" applyProtection="1">
      <alignment vertical="center"/>
      <protection locked="0"/>
    </xf>
    <xf numFmtId="0" fontId="13" fillId="7" borderId="13" xfId="0" applyFont="1" applyFill="1" applyBorder="1" applyAlignment="1" applyProtection="1">
      <alignment horizontal="center" vertical="center"/>
      <protection locked="0"/>
    </xf>
    <xf numFmtId="0" fontId="13" fillId="7" borderId="24" xfId="0" applyFont="1" applyFill="1" applyBorder="1" applyAlignment="1" applyProtection="1">
      <alignment horizontal="center" vertical="center"/>
      <protection locked="0"/>
    </xf>
    <xf numFmtId="0" fontId="13" fillId="7" borderId="12" xfId="0" applyFont="1" applyFill="1" applyBorder="1" applyAlignment="1" applyProtection="1">
      <alignment horizontal="left" vertical="center"/>
      <protection locked="0"/>
    </xf>
    <xf numFmtId="177" fontId="13" fillId="4" borderId="1" xfId="0" applyNumberFormat="1" applyFont="1" applyFill="1" applyBorder="1" applyAlignment="1">
      <alignment horizontal="right" vertical="center"/>
    </xf>
    <xf numFmtId="0" fontId="13" fillId="4" borderId="1" xfId="0" applyFont="1" applyFill="1" applyBorder="1">
      <alignment vertical="center"/>
    </xf>
    <xf numFmtId="0" fontId="18" fillId="4" borderId="1" xfId="0" applyFont="1" applyFill="1" applyBorder="1" applyAlignment="1">
      <alignment horizontal="right" vertical="center"/>
    </xf>
    <xf numFmtId="0" fontId="18" fillId="0" borderId="0" xfId="0" applyFont="1" applyAlignment="1">
      <alignment horizontal="center"/>
    </xf>
    <xf numFmtId="0" fontId="13" fillId="8" borderId="15" xfId="0" applyFont="1" applyFill="1" applyBorder="1" applyAlignment="1" applyProtection="1">
      <alignment horizontal="center" vertical="center"/>
      <protection locked="0"/>
    </xf>
    <xf numFmtId="0" fontId="13" fillId="8" borderId="35" xfId="0" applyFont="1" applyFill="1" applyBorder="1" applyAlignment="1" applyProtection="1">
      <alignment horizontal="center" vertical="center"/>
      <protection locked="0"/>
    </xf>
    <xf numFmtId="178" fontId="54" fillId="0" borderId="39" xfId="0" applyNumberFormat="1" applyFont="1" applyBorder="1" applyAlignment="1">
      <alignment horizontal="left"/>
    </xf>
    <xf numFmtId="177" fontId="54" fillId="0" borderId="50" xfId="0" applyNumberFormat="1" applyFont="1" applyBorder="1" applyAlignment="1">
      <alignment horizontal="left"/>
    </xf>
    <xf numFmtId="178" fontId="54" fillId="0" borderId="92" xfId="0" applyNumberFormat="1" applyFont="1" applyBorder="1" applyAlignment="1">
      <alignment horizontal="left"/>
    </xf>
    <xf numFmtId="178" fontId="54" fillId="0" borderId="25" xfId="0" applyNumberFormat="1" applyFont="1" applyBorder="1" applyAlignment="1">
      <alignment horizontal="left"/>
    </xf>
    <xf numFmtId="178" fontId="54" fillId="0" borderId="35" xfId="0" applyNumberFormat="1" applyFont="1" applyBorder="1" applyAlignment="1">
      <alignment horizontal="left"/>
    </xf>
    <xf numFmtId="0" fontId="18" fillId="0" borderId="78" xfId="0" applyFont="1" applyBorder="1" applyAlignment="1">
      <alignment horizontal="right"/>
    </xf>
    <xf numFmtId="0" fontId="18" fillId="0" borderId="79" xfId="0" applyFont="1" applyBorder="1" applyAlignment="1">
      <alignment horizontal="right"/>
    </xf>
    <xf numFmtId="0" fontId="18" fillId="0" borderId="93" xfId="0" applyFont="1" applyBorder="1" applyAlignment="1">
      <alignment horizontal="right"/>
    </xf>
    <xf numFmtId="0" fontId="18" fillId="0" borderId="88" xfId="0" applyFont="1" applyBorder="1" applyAlignment="1">
      <alignment horizontal="right"/>
    </xf>
    <xf numFmtId="0" fontId="18" fillId="0" borderId="81" xfId="0" applyFont="1" applyBorder="1" applyAlignment="1">
      <alignment horizontal="right"/>
    </xf>
    <xf numFmtId="176" fontId="0" fillId="0" borderId="39" xfId="0" applyNumberFormat="1" applyBorder="1" applyAlignment="1">
      <alignment horizontal="left" vertical="center"/>
    </xf>
    <xf numFmtId="0" fontId="0" fillId="0" borderId="50" xfId="0" applyBorder="1" applyAlignment="1">
      <alignment horizontal="left" vertical="center"/>
    </xf>
    <xf numFmtId="0" fontId="0" fillId="0" borderId="92" xfId="0" applyBorder="1" applyAlignment="1">
      <alignment horizontal="left" vertical="center"/>
    </xf>
    <xf numFmtId="0" fontId="0" fillId="0" borderId="25" xfId="0" applyBorder="1" applyAlignment="1">
      <alignment horizontal="left" vertical="center"/>
    </xf>
    <xf numFmtId="0" fontId="0" fillId="0" borderId="35" xfId="0" applyBorder="1" applyAlignment="1">
      <alignment horizontal="left" vertical="center"/>
    </xf>
    <xf numFmtId="0" fontId="0" fillId="0" borderId="88" xfId="0" applyBorder="1">
      <alignment vertical="center"/>
    </xf>
    <xf numFmtId="0" fontId="0" fillId="0" borderId="81" xfId="0" applyBorder="1">
      <alignment vertical="center"/>
    </xf>
    <xf numFmtId="0" fontId="78" fillId="3" borderId="0" xfId="0" applyFont="1" applyFill="1" applyAlignment="1"/>
    <xf numFmtId="0" fontId="86" fillId="3" borderId="0" xfId="0" applyFont="1" applyFill="1" applyAlignment="1">
      <alignment horizontal="right"/>
    </xf>
    <xf numFmtId="0" fontId="87" fillId="0" borderId="0" xfId="0" applyFont="1" applyAlignment="1">
      <alignment horizontal="right"/>
    </xf>
    <xf numFmtId="0" fontId="87" fillId="0" borderId="0" xfId="0" applyFont="1" applyAlignment="1">
      <alignment horizontal="left"/>
    </xf>
    <xf numFmtId="0" fontId="18" fillId="6" borderId="36" xfId="0" applyFont="1" applyFill="1" applyBorder="1" applyAlignment="1">
      <alignment horizontal="right" vertical="center"/>
    </xf>
    <xf numFmtId="0" fontId="18" fillId="6" borderId="87" xfId="0" applyFont="1" applyFill="1" applyBorder="1" applyAlignment="1">
      <alignment horizontal="right" vertical="center"/>
    </xf>
    <xf numFmtId="0" fontId="13" fillId="4" borderId="37" xfId="0" applyFont="1" applyFill="1" applyBorder="1">
      <alignment vertical="center"/>
    </xf>
    <xf numFmtId="0" fontId="13" fillId="28" borderId="24" xfId="0" applyFont="1" applyFill="1" applyBorder="1">
      <alignment vertical="center"/>
    </xf>
    <xf numFmtId="0" fontId="34" fillId="28" borderId="24" xfId="0" applyFont="1" applyFill="1" applyBorder="1">
      <alignment vertical="center"/>
    </xf>
    <xf numFmtId="0" fontId="0" fillId="28" borderId="32" xfId="0" applyFill="1" applyBorder="1">
      <alignment vertical="center"/>
    </xf>
    <xf numFmtId="0" fontId="13" fillId="28" borderId="31" xfId="0" applyFont="1" applyFill="1" applyBorder="1">
      <alignment vertical="center"/>
    </xf>
    <xf numFmtId="0" fontId="0" fillId="28" borderId="10" xfId="0" applyFill="1" applyBorder="1">
      <alignment vertical="center"/>
    </xf>
    <xf numFmtId="0" fontId="13" fillId="28" borderId="1" xfId="0" applyFont="1" applyFill="1" applyBorder="1">
      <alignment vertical="center"/>
    </xf>
    <xf numFmtId="0" fontId="34" fillId="28" borderId="1" xfId="0" applyFont="1" applyFill="1" applyBorder="1">
      <alignment vertical="center"/>
    </xf>
    <xf numFmtId="0" fontId="13" fillId="28" borderId="11" xfId="0" applyFont="1" applyFill="1" applyBorder="1">
      <alignment vertical="center"/>
    </xf>
    <xf numFmtId="178" fontId="0" fillId="4" borderId="1" xfId="0" quotePrefix="1" applyNumberFormat="1" applyFill="1" applyBorder="1" applyAlignment="1">
      <alignment horizontal="right" vertical="center"/>
    </xf>
    <xf numFmtId="176" fontId="0" fillId="7" borderId="1" xfId="0" quotePrefix="1" applyNumberFormat="1" applyFill="1" applyBorder="1" applyAlignment="1">
      <alignment horizontal="right" vertical="center"/>
    </xf>
    <xf numFmtId="0" fontId="13" fillId="4" borderId="6" xfId="0" applyFont="1" applyFill="1" applyBorder="1">
      <alignment vertical="center"/>
    </xf>
    <xf numFmtId="0" fontId="13" fillId="4" borderId="7" xfId="0" applyFont="1" applyFill="1" applyBorder="1">
      <alignment vertical="center"/>
    </xf>
    <xf numFmtId="0" fontId="13" fillId="4" borderId="9" xfId="0" applyFont="1" applyFill="1" applyBorder="1">
      <alignment vertical="center"/>
    </xf>
    <xf numFmtId="178" fontId="13" fillId="4" borderId="10" xfId="0" applyNumberFormat="1" applyFont="1" applyFill="1" applyBorder="1">
      <alignment vertical="center"/>
    </xf>
    <xf numFmtId="178" fontId="13" fillId="4" borderId="11" xfId="0" applyNumberFormat="1" applyFont="1" applyFill="1" applyBorder="1">
      <alignment vertical="center"/>
    </xf>
    <xf numFmtId="177" fontId="13" fillId="4" borderId="10" xfId="0" applyNumberFormat="1" applyFont="1" applyFill="1" applyBorder="1" applyAlignment="1">
      <alignment horizontal="right" vertical="center"/>
    </xf>
    <xf numFmtId="177" fontId="13" fillId="4" borderId="11" xfId="0" applyNumberFormat="1" applyFont="1" applyFill="1" applyBorder="1" applyAlignment="1">
      <alignment horizontal="right" vertical="center"/>
    </xf>
    <xf numFmtId="0" fontId="18" fillId="4" borderId="44" xfId="0" applyFont="1" applyFill="1" applyBorder="1" applyAlignment="1">
      <alignment horizontal="right" vertical="center"/>
    </xf>
    <xf numFmtId="0" fontId="18" fillId="4" borderId="26" xfId="0" applyFont="1" applyFill="1" applyBorder="1" applyAlignment="1">
      <alignment horizontal="right" vertical="center"/>
    </xf>
    <xf numFmtId="0" fontId="18" fillId="4" borderId="27" xfId="0" applyFont="1" applyFill="1" applyBorder="1" applyAlignment="1">
      <alignment horizontal="right" vertical="center"/>
    </xf>
    <xf numFmtId="0" fontId="18" fillId="4" borderId="41" xfId="0" applyFont="1" applyFill="1" applyBorder="1" applyAlignment="1">
      <alignment horizontal="right" vertical="center"/>
    </xf>
    <xf numFmtId="0" fontId="18" fillId="4" borderId="4" xfId="0" applyFont="1" applyFill="1" applyBorder="1" applyAlignment="1">
      <alignment horizontal="right" vertical="center"/>
    </xf>
    <xf numFmtId="0" fontId="18" fillId="4" borderId="6" xfId="0" applyFont="1" applyFill="1" applyBorder="1" applyAlignment="1">
      <alignment horizontal="right" vertical="center"/>
    </xf>
    <xf numFmtId="177" fontId="13" fillId="4" borderId="32" xfId="0" applyNumberFormat="1" applyFont="1" applyFill="1" applyBorder="1" applyAlignment="1">
      <alignment horizontal="right" vertical="center"/>
    </xf>
    <xf numFmtId="177" fontId="13" fillId="4" borderId="12" xfId="0" applyNumberFormat="1" applyFont="1" applyFill="1" applyBorder="1">
      <alignment vertical="center"/>
    </xf>
    <xf numFmtId="177" fontId="13" fillId="4" borderId="14" xfId="0" applyNumberFormat="1" applyFont="1" applyFill="1" applyBorder="1">
      <alignment vertical="center"/>
    </xf>
    <xf numFmtId="179" fontId="15" fillId="2" borderId="94" xfId="0" applyNumberFormat="1" applyFont="1" applyFill="1" applyBorder="1" applyProtection="1">
      <alignment vertical="center"/>
      <protection locked="0"/>
    </xf>
    <xf numFmtId="0" fontId="37" fillId="2" borderId="29" xfId="0" applyFont="1" applyFill="1" applyBorder="1">
      <alignment vertical="center"/>
    </xf>
    <xf numFmtId="0" fontId="34" fillId="4" borderId="7" xfId="0" applyFont="1" applyFill="1" applyBorder="1" applyAlignment="1">
      <alignment horizontal="center" vertical="center"/>
    </xf>
    <xf numFmtId="0" fontId="30" fillId="0" borderId="51" xfId="3" applyFont="1" applyBorder="1" applyAlignment="1">
      <alignment horizontal="center" vertical="center"/>
    </xf>
    <xf numFmtId="0" fontId="34" fillId="4" borderId="10" xfId="0" applyFont="1" applyFill="1" applyBorder="1">
      <alignment vertical="center"/>
    </xf>
    <xf numFmtId="49" fontId="30" fillId="0" borderId="51" xfId="3" applyNumberFormat="1" applyFont="1" applyBorder="1" applyAlignment="1">
      <alignment horizontal="center" vertical="center" wrapText="1"/>
    </xf>
    <xf numFmtId="0" fontId="34" fillId="4" borderId="10" xfId="0" applyFont="1" applyFill="1" applyBorder="1" applyAlignment="1">
      <alignment horizontal="center" vertical="center"/>
    </xf>
    <xf numFmtId="178" fontId="30" fillId="0" borderId="51" xfId="3" applyNumberFormat="1" applyFont="1" applyBorder="1" applyAlignment="1">
      <alignment horizontal="center" vertical="center"/>
    </xf>
    <xf numFmtId="0" fontId="34" fillId="4" borderId="77" xfId="0" applyFont="1" applyFill="1" applyBorder="1" applyAlignment="1">
      <alignment horizontal="center" vertical="center"/>
    </xf>
    <xf numFmtId="0" fontId="30" fillId="0" borderId="96" xfId="3" applyFont="1" applyBorder="1" applyAlignment="1">
      <alignment horizontal="center" vertical="center" wrapText="1"/>
    </xf>
    <xf numFmtId="0" fontId="30" fillId="0" borderId="24" xfId="0" applyFont="1" applyBorder="1" applyAlignment="1">
      <alignment horizontal="right" vertical="center"/>
    </xf>
    <xf numFmtId="0" fontId="30" fillId="6" borderId="55" xfId="0" applyFont="1" applyFill="1" applyBorder="1" applyAlignment="1">
      <alignment horizontal="right" vertical="center"/>
    </xf>
    <xf numFmtId="0" fontId="34" fillId="28" borderId="32" xfId="0" applyFont="1" applyFill="1" applyBorder="1">
      <alignment vertical="center"/>
    </xf>
    <xf numFmtId="0" fontId="34" fillId="28" borderId="97" xfId="0" applyFont="1" applyFill="1" applyBorder="1">
      <alignment vertical="center"/>
    </xf>
    <xf numFmtId="0" fontId="34" fillId="28" borderId="54" xfId="0" applyFont="1" applyFill="1" applyBorder="1">
      <alignment vertical="center"/>
    </xf>
    <xf numFmtId="0" fontId="30" fillId="6" borderId="24" xfId="0" applyFont="1" applyFill="1" applyBorder="1" applyAlignment="1">
      <alignment horizontal="right" vertical="center"/>
    </xf>
    <xf numFmtId="0" fontId="34" fillId="28" borderId="10" xfId="0" applyFont="1" applyFill="1" applyBorder="1">
      <alignment vertical="center"/>
    </xf>
    <xf numFmtId="0" fontId="34" fillId="28" borderId="95" xfId="0" applyFont="1" applyFill="1" applyBorder="1">
      <alignment vertical="center"/>
    </xf>
    <xf numFmtId="0" fontId="34" fillId="28" borderId="51" xfId="0" applyFont="1" applyFill="1" applyBorder="1">
      <alignment vertical="center"/>
    </xf>
    <xf numFmtId="0" fontId="34" fillId="28" borderId="1" xfId="0" applyFont="1" applyFill="1" applyBorder="1" applyAlignment="1">
      <alignment horizontal="center" vertical="center"/>
    </xf>
    <xf numFmtId="0" fontId="34" fillId="4" borderId="18" xfId="0" applyFont="1" applyFill="1" applyBorder="1" applyAlignment="1">
      <alignment horizontal="center" vertical="center"/>
    </xf>
    <xf numFmtId="0" fontId="34" fillId="4" borderId="23" xfId="0" applyFont="1" applyFill="1" applyBorder="1">
      <alignment vertical="center"/>
    </xf>
    <xf numFmtId="0" fontId="34" fillId="4" borderId="23" xfId="0" applyFont="1" applyFill="1" applyBorder="1" applyAlignment="1">
      <alignment horizontal="center" vertical="center"/>
    </xf>
    <xf numFmtId="0" fontId="34" fillId="4" borderId="87" xfId="0" applyFont="1" applyFill="1" applyBorder="1" applyAlignment="1">
      <alignment horizontal="center" vertical="center"/>
    </xf>
    <xf numFmtId="0" fontId="54" fillId="0" borderId="1" xfId="4" applyFont="1" applyBorder="1" applyAlignment="1">
      <alignment horizontal="center" vertical="center"/>
    </xf>
    <xf numFmtId="0" fontId="54" fillId="0" borderId="1" xfId="3" applyFont="1" applyBorder="1" applyAlignment="1">
      <alignment horizontal="center" vertical="center"/>
    </xf>
    <xf numFmtId="49" fontId="54" fillId="0" borderId="19" xfId="3" applyNumberFormat="1" applyFont="1" applyBorder="1" applyAlignment="1">
      <alignment horizontal="center" vertical="center"/>
    </xf>
    <xf numFmtId="49" fontId="54" fillId="0" borderId="8" xfId="3" applyNumberFormat="1" applyFont="1" applyBorder="1" applyAlignment="1">
      <alignment horizontal="center" vertical="center"/>
    </xf>
    <xf numFmtId="49" fontId="54" fillId="0" borderId="18" xfId="3" applyNumberFormat="1" applyFont="1" applyBorder="1" applyAlignment="1">
      <alignment horizontal="center" vertical="center"/>
    </xf>
    <xf numFmtId="49" fontId="54" fillId="0" borderId="8" xfId="3" applyNumberFormat="1" applyFont="1" applyBorder="1" applyAlignment="1">
      <alignment horizontal="center" vertical="center" wrapText="1"/>
    </xf>
    <xf numFmtId="49" fontId="54" fillId="0" borderId="18" xfId="3" applyNumberFormat="1" applyFont="1" applyBorder="1" applyAlignment="1">
      <alignment horizontal="center" vertical="center" wrapText="1"/>
    </xf>
    <xf numFmtId="0" fontId="54" fillId="6" borderId="1" xfId="3" applyFont="1" applyFill="1" applyBorder="1" applyAlignment="1">
      <alignment horizontal="center" vertical="center" wrapText="1"/>
    </xf>
    <xf numFmtId="0" fontId="54" fillId="0" borderId="13" xfId="3" applyFont="1" applyBorder="1" applyAlignment="1">
      <alignment horizontal="center" vertical="center"/>
    </xf>
    <xf numFmtId="0" fontId="54" fillId="6" borderId="13" xfId="3" applyFont="1" applyFill="1" applyBorder="1" applyAlignment="1">
      <alignment horizontal="center" vertical="center"/>
    </xf>
    <xf numFmtId="0" fontId="54" fillId="0" borderId="2" xfId="4" applyFont="1" applyBorder="1" applyAlignment="1">
      <alignment horizontal="center" vertical="center"/>
    </xf>
    <xf numFmtId="0" fontId="54" fillId="6" borderId="1" xfId="4" applyFont="1" applyFill="1" applyBorder="1" applyAlignment="1">
      <alignment horizontal="center" vertical="center"/>
    </xf>
    <xf numFmtId="0" fontId="54" fillId="6" borderId="24" xfId="4" applyFont="1" applyFill="1" applyBorder="1" applyAlignment="1">
      <alignment horizontal="center" vertical="center"/>
    </xf>
    <xf numFmtId="49" fontId="54" fillId="6" borderId="8" xfId="3" applyNumberFormat="1" applyFont="1" applyFill="1" applyBorder="1" applyAlignment="1">
      <alignment horizontal="center" vertical="center" wrapText="1"/>
    </xf>
    <xf numFmtId="49" fontId="54" fillId="6" borderId="8" xfId="3" applyNumberFormat="1" applyFont="1" applyFill="1" applyBorder="1" applyAlignment="1">
      <alignment horizontal="center" vertical="center"/>
    </xf>
    <xf numFmtId="49" fontId="54" fillId="6" borderId="98" xfId="3" applyNumberFormat="1" applyFont="1" applyFill="1" applyBorder="1" applyAlignment="1">
      <alignment horizontal="center" vertical="center" wrapText="1"/>
    </xf>
    <xf numFmtId="49" fontId="54" fillId="0" borderId="99" xfId="3" applyNumberFormat="1" applyFont="1" applyBorder="1" applyAlignment="1">
      <alignment horizontal="center" vertical="center" wrapText="1"/>
    </xf>
    <xf numFmtId="0" fontId="54" fillId="0" borderId="2" xfId="3" applyFont="1" applyBorder="1" applyAlignment="1">
      <alignment horizontal="center" vertical="center"/>
    </xf>
    <xf numFmtId="0" fontId="54" fillId="0" borderId="1" xfId="3" applyFont="1" applyBorder="1" applyAlignment="1">
      <alignment horizontal="center" vertical="center" wrapText="1"/>
    </xf>
    <xf numFmtId="0" fontId="54" fillId="0" borderId="23" xfId="3" applyFont="1" applyBorder="1" applyAlignment="1">
      <alignment horizontal="center" vertical="center" wrapText="1"/>
    </xf>
    <xf numFmtId="0" fontId="54" fillId="0" borderId="1" xfId="4" applyFont="1" applyBorder="1" applyAlignment="1">
      <alignment horizontal="center" vertical="center" wrapText="1"/>
    </xf>
    <xf numFmtId="178" fontId="54" fillId="0" borderId="2" xfId="3" applyNumberFormat="1" applyFont="1" applyBorder="1" applyAlignment="1">
      <alignment horizontal="center" vertical="center"/>
    </xf>
    <xf numFmtId="178" fontId="54" fillId="0" borderId="1" xfId="3" applyNumberFormat="1" applyFont="1" applyBorder="1" applyAlignment="1">
      <alignment horizontal="center" vertical="center"/>
    </xf>
    <xf numFmtId="178" fontId="54" fillId="0" borderId="1" xfId="3" applyNumberFormat="1" applyFont="1" applyBorder="1" applyAlignment="1">
      <alignment horizontal="center" vertical="center" wrapText="1"/>
    </xf>
    <xf numFmtId="178" fontId="54" fillId="6" borderId="1" xfId="3" applyNumberFormat="1" applyFont="1" applyFill="1" applyBorder="1" applyAlignment="1">
      <alignment horizontal="center" vertical="center"/>
    </xf>
    <xf numFmtId="0" fontId="54" fillId="0" borderId="13" xfId="3" applyFont="1" applyBorder="1" applyAlignment="1">
      <alignment horizontal="center" vertical="center" wrapText="1"/>
    </xf>
    <xf numFmtId="0" fontId="13" fillId="2" borderId="33" xfId="0" applyFont="1" applyFill="1" applyBorder="1" applyAlignment="1" applyProtection="1">
      <alignment horizontal="center" vertical="center"/>
      <protection locked="0"/>
    </xf>
    <xf numFmtId="0" fontId="13" fillId="2" borderId="0" xfId="0" applyFont="1" applyFill="1" applyAlignment="1" applyProtection="1">
      <alignment horizontal="center" vertical="center"/>
      <protection locked="0"/>
    </xf>
    <xf numFmtId="0" fontId="13" fillId="2" borderId="28" xfId="0" applyFont="1" applyFill="1" applyBorder="1" applyAlignment="1" applyProtection="1">
      <alignment horizontal="center" vertical="center"/>
      <protection locked="0"/>
    </xf>
    <xf numFmtId="0" fontId="13" fillId="2" borderId="36" xfId="0" applyFont="1" applyFill="1" applyBorder="1" applyAlignment="1" applyProtection="1">
      <alignment horizontal="center" vertical="center"/>
      <protection locked="0"/>
    </xf>
    <xf numFmtId="0" fontId="13" fillId="2" borderId="54" xfId="0" applyFont="1" applyFill="1" applyBorder="1" applyAlignment="1" applyProtection="1">
      <alignment horizontal="center" vertical="center"/>
      <protection locked="0"/>
    </xf>
    <xf numFmtId="0" fontId="13" fillId="2" borderId="55" xfId="0" applyFont="1" applyFill="1" applyBorder="1" applyAlignment="1" applyProtection="1">
      <alignment horizontal="center" vertical="center"/>
      <protection locked="0"/>
    </xf>
    <xf numFmtId="181" fontId="13" fillId="2" borderId="18" xfId="0" applyNumberFormat="1" applyFont="1" applyFill="1" applyBorder="1" applyAlignment="1" applyProtection="1">
      <alignment horizontal="center" vertical="center"/>
      <protection locked="0"/>
    </xf>
    <xf numFmtId="181" fontId="13" fillId="2" borderId="39" xfId="0" applyNumberFormat="1" applyFont="1" applyFill="1" applyBorder="1" applyAlignment="1" applyProtection="1">
      <alignment horizontal="center" vertical="center"/>
      <protection locked="0"/>
    </xf>
    <xf numFmtId="0" fontId="19" fillId="0" borderId="0" xfId="0" applyFont="1" applyAlignment="1">
      <alignment horizontal="left" vertical="center" wrapText="1"/>
    </xf>
    <xf numFmtId="56" fontId="13" fillId="2" borderId="23" xfId="0" applyNumberFormat="1" applyFont="1" applyFill="1" applyBorder="1" applyAlignment="1" applyProtection="1">
      <alignment horizontal="center" vertical="center"/>
      <protection locked="0"/>
    </xf>
    <xf numFmtId="0" fontId="13" fillId="2" borderId="50" xfId="0" applyFont="1" applyFill="1" applyBorder="1" applyAlignment="1" applyProtection="1">
      <alignment horizontal="center" vertical="center"/>
      <protection locked="0"/>
    </xf>
    <xf numFmtId="0" fontId="13" fillId="20" borderId="23" xfId="0" applyFont="1" applyFill="1" applyBorder="1" applyAlignment="1" applyProtection="1">
      <alignment horizontal="center" vertical="center"/>
      <protection locked="0"/>
    </xf>
    <xf numFmtId="0" fontId="13" fillId="20" borderId="2" xfId="0" applyFont="1" applyFill="1" applyBorder="1" applyAlignment="1" applyProtection="1">
      <alignment horizontal="center" vertical="center"/>
      <protection locked="0"/>
    </xf>
    <xf numFmtId="0" fontId="18" fillId="20" borderId="23" xfId="0" applyFont="1" applyFill="1" applyBorder="1" applyAlignment="1" applyProtection="1">
      <alignment horizontal="center"/>
      <protection locked="0"/>
    </xf>
    <xf numFmtId="0" fontId="18" fillId="20" borderId="2" xfId="0" applyFont="1" applyFill="1" applyBorder="1" applyAlignment="1" applyProtection="1">
      <alignment horizontal="center"/>
      <protection locked="0"/>
    </xf>
    <xf numFmtId="0" fontId="13" fillId="0" borderId="23" xfId="0" applyFont="1" applyBorder="1" applyAlignment="1">
      <alignment horizontal="center" vertical="center"/>
    </xf>
    <xf numFmtId="0" fontId="13" fillId="0" borderId="2" xfId="0" applyFont="1" applyBorder="1" applyAlignment="1">
      <alignment horizontal="center" vertical="center"/>
    </xf>
    <xf numFmtId="0" fontId="18" fillId="0" borderId="23" xfId="0" applyFont="1" applyBorder="1" applyAlignment="1">
      <alignment horizontal="center"/>
    </xf>
    <xf numFmtId="0" fontId="18" fillId="0" borderId="2" xfId="0" applyFont="1" applyBorder="1" applyAlignment="1">
      <alignment horizontal="center"/>
    </xf>
    <xf numFmtId="0" fontId="13" fillId="2" borderId="74" xfId="0" applyFont="1" applyFill="1" applyBorder="1" applyAlignment="1" applyProtection="1">
      <alignment horizontal="center" vertical="center"/>
      <protection locked="0"/>
    </xf>
    <xf numFmtId="0" fontId="13" fillId="2" borderId="59" xfId="0" applyFont="1" applyFill="1" applyBorder="1" applyAlignment="1" applyProtection="1">
      <alignment horizontal="center" vertical="center"/>
      <protection locked="0"/>
    </xf>
    <xf numFmtId="0" fontId="13" fillId="2" borderId="40" xfId="0" applyFont="1" applyFill="1" applyBorder="1" applyAlignment="1" applyProtection="1">
      <alignment horizontal="center" vertical="center"/>
      <protection locked="0"/>
    </xf>
    <xf numFmtId="0" fontId="13" fillId="0" borderId="52"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180" fontId="13" fillId="0" borderId="52" xfId="0" applyNumberFormat="1" applyFont="1" applyBorder="1" applyAlignment="1" applyProtection="1">
      <alignment horizontal="center" vertical="center" wrapText="1"/>
      <protection locked="0"/>
    </xf>
    <xf numFmtId="180" fontId="13" fillId="0" borderId="61" xfId="0" applyNumberFormat="1" applyFont="1" applyBorder="1" applyAlignment="1" applyProtection="1">
      <alignment horizontal="center" vertical="center" wrapText="1"/>
      <protection locked="0"/>
    </xf>
    <xf numFmtId="181" fontId="13" fillId="0" borderId="83" xfId="0" applyNumberFormat="1" applyFont="1" applyBorder="1" applyAlignment="1" applyProtection="1">
      <alignment horizontal="center" vertical="center"/>
      <protection locked="0"/>
    </xf>
    <xf numFmtId="181" fontId="13" fillId="0" borderId="46" xfId="0" applyNumberFormat="1" applyFont="1" applyBorder="1" applyAlignment="1" applyProtection="1">
      <alignment horizontal="center" vertical="center"/>
      <protection locked="0"/>
    </xf>
    <xf numFmtId="181" fontId="13" fillId="0" borderId="18" xfId="0" applyNumberFormat="1" applyFont="1" applyBorder="1" applyAlignment="1" applyProtection="1">
      <alignment horizontal="center" vertical="center"/>
      <protection locked="0"/>
    </xf>
    <xf numFmtId="181" fontId="13" fillId="0" borderId="39" xfId="0" applyNumberFormat="1" applyFont="1" applyBorder="1" applyAlignment="1" applyProtection="1">
      <alignment horizontal="center" vertical="center"/>
      <protection locked="0"/>
    </xf>
    <xf numFmtId="0" fontId="13" fillId="0" borderId="84" xfId="0" applyFont="1" applyBorder="1" applyAlignment="1" applyProtection="1">
      <alignment horizontal="center" vertical="center" wrapText="1"/>
      <protection locked="0"/>
    </xf>
    <xf numFmtId="0" fontId="13" fillId="0" borderId="85" xfId="0" applyFont="1" applyBorder="1" applyAlignment="1" applyProtection="1">
      <alignment horizontal="center" vertical="center" wrapText="1"/>
      <protection locked="0"/>
    </xf>
    <xf numFmtId="180" fontId="13" fillId="0" borderId="86" xfId="0" applyNumberFormat="1" applyFont="1" applyBorder="1" applyAlignment="1" applyProtection="1">
      <alignment horizontal="center" vertical="center" wrapText="1"/>
      <protection locked="0"/>
    </xf>
    <xf numFmtId="0" fontId="33" fillId="0" borderId="0" xfId="0" applyFont="1" applyAlignment="1" applyProtection="1">
      <alignment horizontal="right" vertical="center" wrapText="1"/>
      <protection locked="0"/>
    </xf>
    <xf numFmtId="180" fontId="33" fillId="0" borderId="0" xfId="0" applyNumberFormat="1" applyFont="1" applyAlignment="1" applyProtection="1">
      <alignment horizontal="center" vertical="center" wrapText="1"/>
      <protection locked="0"/>
    </xf>
    <xf numFmtId="181" fontId="13" fillId="0" borderId="0" xfId="0" applyNumberFormat="1" applyFont="1" applyAlignment="1" applyProtection="1">
      <alignment horizontal="center" vertical="center"/>
      <protection locked="0"/>
    </xf>
    <xf numFmtId="180" fontId="13" fillId="0" borderId="0" xfId="0" applyNumberFormat="1" applyFont="1" applyAlignment="1" applyProtection="1">
      <alignment horizontal="center" vertical="center"/>
      <protection locked="0"/>
    </xf>
    <xf numFmtId="0" fontId="13" fillId="0" borderId="0" xfId="0" applyFont="1" applyAlignment="1" applyProtection="1">
      <alignment horizontal="right" vertical="center" wrapText="1"/>
      <protection locked="0"/>
    </xf>
    <xf numFmtId="49" fontId="13" fillId="0" borderId="0" xfId="0" applyNumberFormat="1" applyFont="1" applyAlignment="1" applyProtection="1">
      <alignment horizontal="right" vertical="center" wrapText="1"/>
      <protection locked="0"/>
    </xf>
    <xf numFmtId="0" fontId="20" fillId="0" borderId="7" xfId="0" applyFont="1" applyBorder="1" applyAlignment="1">
      <alignment horizontal="center" vertical="center" wrapText="1"/>
    </xf>
    <xf numFmtId="0" fontId="20" fillId="0" borderId="12" xfId="0" applyFont="1" applyBorder="1" applyAlignment="1">
      <alignment horizontal="center" vertical="center" wrapText="1"/>
    </xf>
    <xf numFmtId="180" fontId="20" fillId="0" borderId="7" xfId="0" applyNumberFormat="1" applyFont="1" applyBorder="1" applyAlignment="1">
      <alignment horizontal="center" vertical="center"/>
    </xf>
    <xf numFmtId="180" fontId="20" fillId="0" borderId="12" xfId="0" applyNumberFormat="1" applyFont="1" applyBorder="1" applyAlignment="1">
      <alignment horizontal="center" vertical="center"/>
    </xf>
    <xf numFmtId="181" fontId="16" fillId="0" borderId="17" xfId="0" applyNumberFormat="1" applyFont="1" applyBorder="1" applyAlignment="1">
      <alignment horizontal="center" vertical="center"/>
    </xf>
    <xf numFmtId="181" fontId="16" fillId="0" borderId="39" xfId="0" applyNumberFormat="1" applyFont="1" applyBorder="1" applyAlignment="1">
      <alignment horizontal="center" vertical="center"/>
    </xf>
    <xf numFmtId="0" fontId="16" fillId="0" borderId="24" xfId="0" applyFont="1" applyBorder="1" applyAlignment="1">
      <alignment horizontal="center" vertical="center"/>
    </xf>
    <xf numFmtId="0" fontId="16" fillId="0" borderId="31" xfId="0"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20" fillId="0" borderId="69" xfId="0" applyFont="1" applyBorder="1" applyAlignment="1">
      <alignment horizontal="right" vertical="center" wrapText="1"/>
    </xf>
    <xf numFmtId="0" fontId="20" fillId="0" borderId="70" xfId="0" applyFont="1" applyBorder="1" applyAlignment="1">
      <alignment horizontal="right" vertical="center" wrapText="1"/>
    </xf>
    <xf numFmtId="0" fontId="20" fillId="0" borderId="69" xfId="0" applyFont="1" applyBorder="1" applyAlignment="1">
      <alignment horizontal="center" vertical="center" wrapText="1"/>
    </xf>
    <xf numFmtId="0" fontId="20" fillId="0" borderId="70" xfId="0" applyFont="1" applyBorder="1" applyAlignment="1">
      <alignment horizontal="center" vertical="center" wrapText="1"/>
    </xf>
    <xf numFmtId="14" fontId="0" fillId="3" borderId="0" xfId="0" applyNumberFormat="1" applyFill="1" applyAlignment="1">
      <alignment horizontal="center" vertical="center"/>
    </xf>
    <xf numFmtId="0" fontId="0" fillId="3" borderId="37" xfId="0" applyFill="1" applyBorder="1" applyAlignment="1">
      <alignment horizontal="center" vertical="center"/>
    </xf>
    <xf numFmtId="0" fontId="0" fillId="3" borderId="27" xfId="0" applyFill="1" applyBorder="1" applyAlignment="1">
      <alignment horizontal="center" vertical="center"/>
    </xf>
    <xf numFmtId="0" fontId="0" fillId="3" borderId="4" xfId="0" applyFill="1" applyBorder="1" applyAlignment="1">
      <alignment horizontal="center" vertical="center"/>
    </xf>
    <xf numFmtId="0" fontId="0" fillId="3" borderId="25" xfId="0" applyFill="1" applyBorder="1" applyAlignment="1">
      <alignment horizontal="center" vertical="center"/>
    </xf>
    <xf numFmtId="0" fontId="27" fillId="0" borderId="15" xfId="2" applyFont="1" applyBorder="1" applyAlignment="1" applyProtection="1">
      <alignment horizontal="center" vertical="center"/>
    </xf>
    <xf numFmtId="0" fontId="26" fillId="4" borderId="22" xfId="2" applyFont="1" applyFill="1" applyBorder="1" applyAlignment="1" applyProtection="1">
      <alignment horizontal="center" vertical="center"/>
    </xf>
    <xf numFmtId="0" fontId="26" fillId="4" borderId="0" xfId="2" applyFont="1" applyFill="1" applyAlignment="1" applyProtection="1">
      <alignment horizontal="center" vertical="center"/>
    </xf>
    <xf numFmtId="0" fontId="26" fillId="4" borderId="25" xfId="2" applyFont="1" applyFill="1" applyBorder="1" applyAlignment="1" applyProtection="1">
      <alignment horizontal="center" vertical="center"/>
    </xf>
    <xf numFmtId="0" fontId="13" fillId="4" borderId="18" xfId="0" applyFont="1" applyFill="1" applyBorder="1" applyAlignment="1">
      <alignment horizontal="center" vertical="center"/>
    </xf>
    <xf numFmtId="0" fontId="13" fillId="4" borderId="39" xfId="0" applyFont="1" applyFill="1" applyBorder="1" applyAlignment="1">
      <alignment horizontal="center" vertical="center"/>
    </xf>
    <xf numFmtId="56" fontId="27" fillId="4" borderId="22" xfId="2" applyNumberFormat="1" applyFont="1" applyFill="1" applyBorder="1" applyAlignment="1" applyProtection="1">
      <alignment horizontal="center" vertical="center"/>
    </xf>
    <xf numFmtId="56" fontId="27" fillId="4" borderId="0" xfId="2" applyNumberFormat="1" applyFont="1" applyFill="1" applyAlignment="1" applyProtection="1">
      <alignment horizontal="center" vertical="center"/>
    </xf>
    <xf numFmtId="56" fontId="27" fillId="4" borderId="25" xfId="2" applyNumberFormat="1" applyFont="1" applyFill="1" applyBorder="1" applyAlignment="1" applyProtection="1">
      <alignment horizontal="center" vertical="center"/>
    </xf>
    <xf numFmtId="0" fontId="0" fillId="0" borderId="23" xfId="0" applyBorder="1" applyAlignment="1">
      <alignment horizontal="center" vertical="center"/>
    </xf>
    <xf numFmtId="0" fontId="0" fillId="0" borderId="2" xfId="0" applyBorder="1" applyAlignment="1">
      <alignment horizontal="center" vertical="center"/>
    </xf>
  </cellXfs>
  <cellStyles count="5">
    <cellStyle name="パーセント" xfId="1" builtinId="5"/>
    <cellStyle name="標準" xfId="0" builtinId="0"/>
    <cellStyle name="標準 2" xfId="3" xr:uid="{00000000-0005-0000-0000-000002000000}"/>
    <cellStyle name="標準_Sheet1" xfId="2" xr:uid="{00000000-0005-0000-0000-000003000000}"/>
    <cellStyle name="標準_Sheet1 2" xfId="4" xr:uid="{00000000-0005-0000-0000-000004000000}"/>
  </cellStyles>
  <dxfs count="49">
    <dxf>
      <fill>
        <patternFill>
          <bgColor rgb="FFFFFFCC"/>
        </patternFill>
      </fill>
    </dxf>
    <dxf>
      <font>
        <color rgb="FFFF0000"/>
      </font>
    </dxf>
    <dxf>
      <font>
        <color rgb="FFFF0000"/>
      </font>
    </dxf>
    <dxf>
      <font>
        <color rgb="FFFF0000"/>
      </font>
      <fill>
        <patternFill patternType="mediumGray">
          <fgColor rgb="FFFF0000"/>
        </patternFill>
      </fill>
    </dxf>
    <dxf>
      <font>
        <color rgb="FFFF0000"/>
      </font>
    </dxf>
    <dxf>
      <font>
        <color rgb="FFFF0000"/>
      </font>
      <fill>
        <patternFill patternType="mediumGray">
          <fgColor rgb="FFFF0000"/>
        </patternFill>
      </fill>
    </dxf>
    <dxf>
      <font>
        <color rgb="FFFF0000"/>
      </font>
    </dxf>
    <dxf>
      <font>
        <color rgb="FFFF0000"/>
      </font>
      <fill>
        <patternFill patternType="mediumGray">
          <fgColor rgb="FFFF0000"/>
        </patternFill>
      </fill>
    </dxf>
    <dxf>
      <font>
        <color rgb="FFFF0000"/>
      </font>
    </dxf>
    <dxf>
      <font>
        <color rgb="FFFF0000"/>
      </font>
      <fill>
        <patternFill patternType="mediumGray">
          <fgColor rgb="FFFF0000"/>
        </patternFill>
      </fill>
    </dxf>
    <dxf>
      <font>
        <color rgb="FFFF0000"/>
      </font>
    </dxf>
    <dxf>
      <font>
        <color rgb="FFFF0000"/>
      </font>
    </dxf>
    <dxf>
      <font>
        <color rgb="FFFF0000"/>
      </font>
      <fill>
        <patternFill patternType="mediumGray">
          <fgColor rgb="FFFF0000"/>
        </patternFill>
      </fill>
    </dxf>
    <dxf>
      <font>
        <color rgb="FFFF0000"/>
      </font>
    </dxf>
    <dxf>
      <font>
        <color rgb="FFFF0000"/>
      </font>
      <fill>
        <patternFill patternType="mediumGray">
          <fgColor rgb="FFFF0000"/>
        </patternFill>
      </fill>
    </dxf>
    <dxf>
      <font>
        <color rgb="FFFF0000"/>
      </font>
      <fill>
        <patternFill patternType="mediumGray">
          <fgColor rgb="FFFF0000"/>
        </patternFill>
      </fill>
    </dxf>
    <dxf>
      <font>
        <color rgb="FFFF0000"/>
      </font>
    </dxf>
    <dxf>
      <font>
        <color rgb="FFFF0000"/>
      </font>
    </dxf>
    <dxf>
      <font>
        <color rgb="FFFF0000"/>
      </font>
      <fill>
        <patternFill patternType="mediumGray">
          <f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strike val="0"/>
        <color rgb="FFFF0000"/>
      </font>
      <fill>
        <patternFill patternType="darkGray">
          <fgColor rgb="FFFF5050"/>
          <bgColor auto="1"/>
        </patternFill>
      </fill>
    </dxf>
    <dxf>
      <font>
        <color rgb="FFFF0000"/>
      </font>
      <fill>
        <patternFill patternType="mediumGray">
          <fgColor rgb="FFFF0000"/>
        </patternFill>
      </fill>
    </dxf>
    <dxf>
      <font>
        <b/>
        <i val="0"/>
      </font>
    </dxf>
    <dxf>
      <font>
        <b val="0"/>
        <i val="0"/>
      </font>
      <fill>
        <patternFill>
          <bgColor rgb="FFEBFFEB"/>
        </patternFill>
      </fill>
    </dxf>
    <dxf>
      <fill>
        <patternFill>
          <bgColor theme="9" tint="0.39994506668294322"/>
        </patternFill>
      </fill>
    </dxf>
    <dxf>
      <font>
        <b/>
        <i val="0"/>
      </font>
    </dxf>
    <dxf>
      <font>
        <b val="0"/>
        <i val="0"/>
      </font>
      <fill>
        <patternFill>
          <bgColor rgb="FFEBFFEB"/>
        </patternFill>
      </fill>
    </dxf>
    <dxf>
      <fill>
        <patternFill>
          <bgColor theme="9" tint="0.39994506668294322"/>
        </patternFill>
      </fill>
    </dxf>
    <dxf>
      <font>
        <b val="0"/>
        <i val="0"/>
      </font>
      <fill>
        <patternFill>
          <fgColor rgb="FFEBFFDD"/>
          <bgColor rgb="FFEBFFEB"/>
        </patternFill>
      </fill>
    </dxf>
    <dxf>
      <fill>
        <patternFill>
          <bgColor theme="9" tint="0.39994506668294322"/>
        </patternFill>
      </fill>
    </dxf>
    <dxf>
      <font>
        <b/>
        <i val="0"/>
        <strike val="0"/>
      </font>
    </dxf>
  </dxfs>
  <tableStyles count="0" defaultTableStyle="TableStyleMedium9" defaultPivotStyle="PivotStyleLight16"/>
  <colors>
    <mruColors>
      <color rgb="FFFFFFCC"/>
      <color rgb="FFB9EDBE"/>
      <color rgb="FFCCFFFF"/>
      <color rgb="FFFF5050"/>
      <color rgb="FFEBFFEB"/>
      <color rgb="FFC8FAC8"/>
      <color rgb="FFEBFFDD"/>
      <color rgb="FFDCFFC5"/>
      <color rgb="FF88E090"/>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30" dropStyle="combo" dx="22" fmlaLink="$BC$18" fmlaRange="$BS$70:$BS$135" noThreeD="1" sel="1" val="0"/>
</file>

<file path=xl/ctrlProps/ctrlProp10.xml><?xml version="1.0" encoding="utf-8"?>
<formControlPr xmlns="http://schemas.microsoft.com/office/spreadsheetml/2009/9/main" objectType="Drop" dropLines="30" dropStyle="combo" dx="22" fmlaLink="$BC$16" fmlaRange="$BS$70:$BS$135" noThreeD="1" sel="1" val="0"/>
</file>

<file path=xl/ctrlProps/ctrlProp11.xml><?xml version="1.0" encoding="utf-8"?>
<formControlPr xmlns="http://schemas.microsoft.com/office/spreadsheetml/2009/9/main" objectType="Drop" dropLines="30" dropStyle="combo" dx="22" fmlaLink="$AZ$18" fmlaRange="$BS$70:$BS$135" noThreeD="1" sel="1" val="0"/>
</file>

<file path=xl/ctrlProps/ctrlProp12.xml><?xml version="1.0" encoding="utf-8"?>
<formControlPr xmlns="http://schemas.microsoft.com/office/spreadsheetml/2009/9/main" objectType="Drop" dropLines="30" dropStyle="combo" dx="22" fmlaLink="$AZ$20" fmlaRange="$BS$70:$BS$135" noThreeD="1" sel="1" val="0"/>
</file>

<file path=xl/ctrlProps/ctrlProp13.xml><?xml version="1.0" encoding="utf-8"?>
<formControlPr xmlns="http://schemas.microsoft.com/office/spreadsheetml/2009/9/main" objectType="Drop" dropLines="30" dropStyle="combo" dx="22" fmlaLink="$AZ$22" fmlaRange="$BS$70:$BS$135" noThreeD="1" sel="1" val="0"/>
</file>

<file path=xl/ctrlProps/ctrlProp14.xml><?xml version="1.0" encoding="utf-8"?>
<formControlPr xmlns="http://schemas.microsoft.com/office/spreadsheetml/2009/9/main" objectType="Drop" dropLines="30" dropStyle="combo" dx="22" fmlaLink="$AZ$24" fmlaRange="$BS$70:$BS$135" noThreeD="1" sel="1" val="30"/>
</file>

<file path=xl/ctrlProps/ctrlProp15.xml><?xml version="1.0" encoding="utf-8"?>
<formControlPr xmlns="http://schemas.microsoft.com/office/spreadsheetml/2009/9/main" objectType="Drop" dropLines="30" dropStyle="combo" dx="22" fmlaLink="$AZ$26" fmlaRange="$BS$70:$BS$135" noThreeD="1" sel="1" val="0"/>
</file>

<file path=xl/ctrlProps/ctrlProp16.xml><?xml version="1.0" encoding="utf-8"?>
<formControlPr xmlns="http://schemas.microsoft.com/office/spreadsheetml/2009/9/main" objectType="Drop" dropLines="30" dropStyle="combo" dx="22" fmlaLink="$AZ$28" fmlaRange="$BS$70:$BS$135" noThreeD="1" sel="1" val="30"/>
</file>

<file path=xl/ctrlProps/ctrlProp17.xml><?xml version="1.0" encoding="utf-8"?>
<formControlPr xmlns="http://schemas.microsoft.com/office/spreadsheetml/2009/9/main" objectType="Drop" dropLines="30" dropStyle="combo" dx="22" fmlaLink="$AZ$30" fmlaRange="$BS$70:$BS$135" noThreeD="1" sel="1" val="0"/>
</file>

<file path=xl/ctrlProps/ctrlProp18.xml><?xml version="1.0" encoding="utf-8"?>
<formControlPr xmlns="http://schemas.microsoft.com/office/spreadsheetml/2009/9/main" objectType="Drop" dropLines="30" dropStyle="combo" dx="22" fmlaLink="$AZ$14" fmlaRange="$BS$70:$BS$135" noThreeD="1" sel="1" val="0"/>
</file>

<file path=xl/ctrlProps/ctrlProp19.xml><?xml version="1.0" encoding="utf-8"?>
<formControlPr xmlns="http://schemas.microsoft.com/office/spreadsheetml/2009/9/main" objectType="Drop" dropLines="30" dropStyle="combo" dx="22" fmlaLink="$AZ$16" fmlaRange="$BS$70:$BS$135" noThreeD="1" sel="1" val="0"/>
</file>

<file path=xl/ctrlProps/ctrlProp2.xml><?xml version="1.0" encoding="utf-8"?>
<formControlPr xmlns="http://schemas.microsoft.com/office/spreadsheetml/2009/9/main" objectType="Drop" dropLines="30" dropStyle="combo" dx="22" fmlaLink="$BC$20" fmlaRange="$BS$70:$BS$135" noThreeD="1" sel="1" val="0"/>
</file>

<file path=xl/ctrlProps/ctrlProp20.xml><?xml version="1.0" encoding="utf-8"?>
<formControlPr xmlns="http://schemas.microsoft.com/office/spreadsheetml/2009/9/main" objectType="Drop" dropLines="30" dropStyle="combo" dx="22" fmlaLink="$AZ$12" fmlaRange="$BS$70:$BS$135" noThreeD="1" sel="1" val="0"/>
</file>

<file path=xl/ctrlProps/ctrlProp21.xml><?xml version="1.0" encoding="utf-8"?>
<formControlPr xmlns="http://schemas.microsoft.com/office/spreadsheetml/2009/9/main" objectType="Drop" dropLines="30" dropStyle="combo" dx="22" fmlaLink="$BA$18" fmlaRange="$BS$70:$BS$135" noThreeD="1" sel="1" val="0"/>
</file>

<file path=xl/ctrlProps/ctrlProp22.xml><?xml version="1.0" encoding="utf-8"?>
<formControlPr xmlns="http://schemas.microsoft.com/office/spreadsheetml/2009/9/main" objectType="Drop" dropLines="30" dropStyle="combo" dx="22" fmlaLink="$BA$20" fmlaRange="$BS$70:$BS$135" noThreeD="1" sel="1" val="0"/>
</file>

<file path=xl/ctrlProps/ctrlProp23.xml><?xml version="1.0" encoding="utf-8"?>
<formControlPr xmlns="http://schemas.microsoft.com/office/spreadsheetml/2009/9/main" objectType="Drop" dropLines="30" dropStyle="combo" dx="22" fmlaLink="$BA$22" fmlaRange="$BS$70:$BS$135" noThreeD="1" sel="1" val="0"/>
</file>

<file path=xl/ctrlProps/ctrlProp24.xml><?xml version="1.0" encoding="utf-8"?>
<formControlPr xmlns="http://schemas.microsoft.com/office/spreadsheetml/2009/9/main" objectType="Drop" dropLines="30" dropStyle="combo" dx="22" fmlaLink="$BA$24" fmlaRange="$BS$70:$BS$135" noThreeD="1" sel="1" val="0"/>
</file>

<file path=xl/ctrlProps/ctrlProp25.xml><?xml version="1.0" encoding="utf-8"?>
<formControlPr xmlns="http://schemas.microsoft.com/office/spreadsheetml/2009/9/main" objectType="Drop" dropLines="30" dropStyle="combo" dx="22" fmlaLink="$BA$26" fmlaRange="$BS$70:$BS$135" noThreeD="1" sel="1" val="30"/>
</file>

<file path=xl/ctrlProps/ctrlProp26.xml><?xml version="1.0" encoding="utf-8"?>
<formControlPr xmlns="http://schemas.microsoft.com/office/spreadsheetml/2009/9/main" objectType="Drop" dropLines="30" dropStyle="combo" dx="22" fmlaLink="$BA$28" fmlaRange="$BS$70:$BS$135" noThreeD="1" sel="1" val="30"/>
</file>

<file path=xl/ctrlProps/ctrlProp27.xml><?xml version="1.0" encoding="utf-8"?>
<formControlPr xmlns="http://schemas.microsoft.com/office/spreadsheetml/2009/9/main" objectType="Drop" dropLines="30" dropStyle="combo" dx="22" fmlaLink="$BA$30" fmlaRange="$BS$70:$BS$135" noThreeD="1" sel="1" val="30"/>
</file>

<file path=xl/ctrlProps/ctrlProp28.xml><?xml version="1.0" encoding="utf-8"?>
<formControlPr xmlns="http://schemas.microsoft.com/office/spreadsheetml/2009/9/main" objectType="Drop" dropLines="30" dropStyle="combo" dx="22" fmlaLink="$BA$14" fmlaRange="$BS$70:$BS$135" noThreeD="1" sel="1" val="0"/>
</file>

<file path=xl/ctrlProps/ctrlProp29.xml><?xml version="1.0" encoding="utf-8"?>
<formControlPr xmlns="http://schemas.microsoft.com/office/spreadsheetml/2009/9/main" objectType="Drop" dropLines="30" dropStyle="combo" dx="22" fmlaLink="$BA$16" fmlaRange="$BS$70:$BS$135" noThreeD="1" sel="1" val="0"/>
</file>

<file path=xl/ctrlProps/ctrlProp3.xml><?xml version="1.0" encoding="utf-8"?>
<formControlPr xmlns="http://schemas.microsoft.com/office/spreadsheetml/2009/9/main" objectType="Drop" dropLines="30" dropStyle="combo" dx="22" fmlaLink="$BC$22" fmlaRange="$BS$70:$BS$135" noThreeD="1" sel="1" val="0"/>
</file>

<file path=xl/ctrlProps/ctrlProp30.xml><?xml version="1.0" encoding="utf-8"?>
<formControlPr xmlns="http://schemas.microsoft.com/office/spreadsheetml/2009/9/main" objectType="Drop" dropLines="30" dropStyle="combo" dx="22" fmlaLink="$BA$12" fmlaRange="$BS$70:$BS$135" noThreeD="1" sel="1" val="0"/>
</file>

<file path=xl/ctrlProps/ctrlProp31.xml><?xml version="1.0" encoding="utf-8"?>
<formControlPr xmlns="http://schemas.microsoft.com/office/spreadsheetml/2009/9/main" objectType="Drop" dropLines="30" dropStyle="combo" dx="22" fmlaLink="$BB$18" fmlaRange="$BS$70:$BS$135" noThreeD="1" sel="1" val="0"/>
</file>

<file path=xl/ctrlProps/ctrlProp32.xml><?xml version="1.0" encoding="utf-8"?>
<formControlPr xmlns="http://schemas.microsoft.com/office/spreadsheetml/2009/9/main" objectType="Drop" dropLines="30" dropStyle="combo" dx="22" fmlaLink="$BB$20" fmlaRange="$BS$70:$BS$135" noThreeD="1" sel="1" val="0"/>
</file>

<file path=xl/ctrlProps/ctrlProp33.xml><?xml version="1.0" encoding="utf-8"?>
<formControlPr xmlns="http://schemas.microsoft.com/office/spreadsheetml/2009/9/main" objectType="Drop" dropLines="30" dropStyle="combo" dx="22" fmlaLink="$BB$22" fmlaRange="$BS$70:$BS$135" noThreeD="1" sel="1" val="0"/>
</file>

<file path=xl/ctrlProps/ctrlProp34.xml><?xml version="1.0" encoding="utf-8"?>
<formControlPr xmlns="http://schemas.microsoft.com/office/spreadsheetml/2009/9/main" objectType="Drop" dropLines="30" dropStyle="combo" dx="22" fmlaLink="$BB$24" fmlaRange="$BS$70:$BS$135" noThreeD="1" sel="1" val="30"/>
</file>

<file path=xl/ctrlProps/ctrlProp35.xml><?xml version="1.0" encoding="utf-8"?>
<formControlPr xmlns="http://schemas.microsoft.com/office/spreadsheetml/2009/9/main" objectType="Drop" dropLines="30" dropStyle="combo" dx="22" fmlaLink="$BB$26" fmlaRange="$BS$70:$BS$135" noThreeD="1" sel="1" val="30"/>
</file>

<file path=xl/ctrlProps/ctrlProp36.xml><?xml version="1.0" encoding="utf-8"?>
<formControlPr xmlns="http://schemas.microsoft.com/office/spreadsheetml/2009/9/main" objectType="Drop" dropLines="30" dropStyle="combo" dx="22" fmlaLink="$BB$28" fmlaRange="$BS$70:$BS$135" noThreeD="1" sel="1" val="30"/>
</file>

<file path=xl/ctrlProps/ctrlProp37.xml><?xml version="1.0" encoding="utf-8"?>
<formControlPr xmlns="http://schemas.microsoft.com/office/spreadsheetml/2009/9/main" objectType="Drop" dropLines="30" dropStyle="combo" dx="22" fmlaLink="$BB$30" fmlaRange="$BS$70:$BS$135" noThreeD="1" sel="1" val="30"/>
</file>

<file path=xl/ctrlProps/ctrlProp38.xml><?xml version="1.0" encoding="utf-8"?>
<formControlPr xmlns="http://schemas.microsoft.com/office/spreadsheetml/2009/9/main" objectType="Drop" dropLines="30" dropStyle="combo" dx="22" fmlaLink="$BB$14" fmlaRange="$BS$70:$BS$135" noThreeD="1" sel="1" val="0"/>
</file>

<file path=xl/ctrlProps/ctrlProp39.xml><?xml version="1.0" encoding="utf-8"?>
<formControlPr xmlns="http://schemas.microsoft.com/office/spreadsheetml/2009/9/main" objectType="Drop" dropLines="30" dropStyle="combo" dx="22" fmlaLink="$BB$16" fmlaRange="$BS$70:$BS$135" noThreeD="1" sel="1" val="0"/>
</file>

<file path=xl/ctrlProps/ctrlProp4.xml><?xml version="1.0" encoding="utf-8"?>
<formControlPr xmlns="http://schemas.microsoft.com/office/spreadsheetml/2009/9/main" objectType="Drop" dropLines="30" dropStyle="combo" dx="22" fmlaLink="$BC$24" fmlaRange="$BS$70:$BS$135" noThreeD="1" sel="1" val="29"/>
</file>

<file path=xl/ctrlProps/ctrlProp40.xml><?xml version="1.0" encoding="utf-8"?>
<formControlPr xmlns="http://schemas.microsoft.com/office/spreadsheetml/2009/9/main" objectType="Drop" dropLines="30" dropStyle="combo" dx="22" fmlaLink="$BB$12" fmlaRange="$BS$70:$BS$135" noThreeD="1" sel="1" val="0"/>
</file>

<file path=xl/ctrlProps/ctrlProp41.xml><?xml version="1.0" encoding="utf-8"?>
<formControlPr xmlns="http://schemas.microsoft.com/office/spreadsheetml/2009/9/main" objectType="Drop" dropStyle="combo" dx="22" fmlaLink="$AZ$36" fmlaRange="$AW$37:$AW$44" noThreeD="1" sel="1" val="0"/>
</file>

<file path=xl/ctrlProps/ctrlProp42.xml><?xml version="1.0" encoding="utf-8"?>
<formControlPr xmlns="http://schemas.microsoft.com/office/spreadsheetml/2009/9/main" objectType="Drop" dropLines="30" dropStyle="combo" dx="22" fmlaLink="$BC$36" fmlaRange="$BF$70:$BF$129" noThreeD="1" sel="1" val="0"/>
</file>

<file path=xl/ctrlProps/ctrlProp43.xml><?xml version="1.0" encoding="utf-8"?>
<formControlPr xmlns="http://schemas.microsoft.com/office/spreadsheetml/2009/9/main" objectType="Drop" dropStyle="combo" dx="22" fmlaLink="$BA$36" fmlaRange="$AW$28:$AW$29" noThreeD="1" sel="1" val="0"/>
</file>

<file path=xl/ctrlProps/ctrlProp44.xml><?xml version="1.0" encoding="utf-8"?>
<formControlPr xmlns="http://schemas.microsoft.com/office/spreadsheetml/2009/9/main" objectType="Drop" dropStyle="combo" dx="22" fmlaLink="$BB$36" fmlaRange="$AW$32:$AW$33" noThreeD="1" sel="2" val="0"/>
</file>

<file path=xl/ctrlProps/ctrlProp45.xml><?xml version="1.0" encoding="utf-8"?>
<formControlPr xmlns="http://schemas.microsoft.com/office/spreadsheetml/2009/9/main" objectType="Drop" dropLines="30" dropStyle="combo" dx="22" fmlaLink="$AZ$32" fmlaRange="$BS$70:$BS$135" noThreeD="1" sel="1" val="0"/>
</file>

<file path=xl/ctrlProps/ctrlProp46.xml><?xml version="1.0" encoding="utf-8"?>
<formControlPr xmlns="http://schemas.microsoft.com/office/spreadsheetml/2009/9/main" objectType="Drop" dropLines="30" dropStyle="combo" dx="22" fmlaLink="$BA$32" fmlaRange="$BS$70:$BS$135" noThreeD="1" sel="1" val="0"/>
</file>

<file path=xl/ctrlProps/ctrlProp47.xml><?xml version="1.0" encoding="utf-8"?>
<formControlPr xmlns="http://schemas.microsoft.com/office/spreadsheetml/2009/9/main" objectType="Drop" dropLines="30" dropStyle="combo" dx="22" fmlaLink="$BB$32" fmlaRange="$BS$70:$BS$135" noThreeD="1" sel="1" val="0"/>
</file>

<file path=xl/ctrlProps/ctrlProp48.xml><?xml version="1.0" encoding="utf-8"?>
<formControlPr xmlns="http://schemas.microsoft.com/office/spreadsheetml/2009/9/main" objectType="Drop" dropLines="30" dropStyle="combo" dx="22" fmlaLink="$BC$32" fmlaRange="$BS$70:$BS$135" noThreeD="1" sel="1" val="0"/>
</file>

<file path=xl/ctrlProps/ctrlProp49.xml><?xml version="1.0" encoding="utf-8"?>
<formControlPr xmlns="http://schemas.microsoft.com/office/spreadsheetml/2009/9/main" objectType="Drop" dropLines="30" dropStyle="combo" dx="22" fmlaLink="$AZ$34" fmlaRange="$BS$70:$BS$135" noThreeD="1" sel="1" val="0"/>
</file>

<file path=xl/ctrlProps/ctrlProp5.xml><?xml version="1.0" encoding="utf-8"?>
<formControlPr xmlns="http://schemas.microsoft.com/office/spreadsheetml/2009/9/main" objectType="Drop" dropLines="30" dropStyle="combo" dx="22" fmlaLink="$BC$26" fmlaRange="$BS$70:$BS$135" noThreeD="1" sel="1" val="36"/>
</file>

<file path=xl/ctrlProps/ctrlProp50.xml><?xml version="1.0" encoding="utf-8"?>
<formControlPr xmlns="http://schemas.microsoft.com/office/spreadsheetml/2009/9/main" objectType="Drop" dropLines="30" dropStyle="combo" dx="22" fmlaLink="$BA$34" fmlaRange="$BS$70:$BS$135" noThreeD="1" sel="1" val="0"/>
</file>

<file path=xl/ctrlProps/ctrlProp51.xml><?xml version="1.0" encoding="utf-8"?>
<formControlPr xmlns="http://schemas.microsoft.com/office/spreadsheetml/2009/9/main" objectType="Drop" dropLines="30" dropStyle="combo" dx="22" fmlaLink="$BB$34" fmlaRange="$BS$70:$BS$135" noThreeD="1" sel="1" val="0"/>
</file>

<file path=xl/ctrlProps/ctrlProp52.xml><?xml version="1.0" encoding="utf-8"?>
<formControlPr xmlns="http://schemas.microsoft.com/office/spreadsheetml/2009/9/main" objectType="Drop" dropLines="30" dropStyle="combo" dx="22" fmlaLink="$BC$34" fmlaRange="$BS$70:$BS$135" noThreeD="1" sel="1" val="0"/>
</file>

<file path=xl/ctrlProps/ctrlProp53.xml><?xml version="1.0" encoding="utf-8"?>
<formControlPr xmlns="http://schemas.microsoft.com/office/spreadsheetml/2009/9/main" objectType="Drop" dropStyle="combo" dx="22" fmlaLink="$N$5" fmlaRange="$K$5:$K$9" noThreeD="1" sel="5" val="0"/>
</file>

<file path=xl/ctrlProps/ctrlProp54.xml><?xml version="1.0" encoding="utf-8"?>
<formControlPr xmlns="http://schemas.microsoft.com/office/spreadsheetml/2009/9/main" objectType="Drop" dropStyle="combo" dx="22" fmlaLink="$N$6" fmlaRange="$K$5:$K$9" noThreeD="1" sel="3" val="0"/>
</file>

<file path=xl/ctrlProps/ctrlProp6.xml><?xml version="1.0" encoding="utf-8"?>
<formControlPr xmlns="http://schemas.microsoft.com/office/spreadsheetml/2009/9/main" objectType="Drop" dropLines="30" dropStyle="combo" dx="22" fmlaLink="$BC$28" fmlaRange="$BS$70:$BS$135" noThreeD="1" sel="1" val="30"/>
</file>

<file path=xl/ctrlProps/ctrlProp7.xml><?xml version="1.0" encoding="utf-8"?>
<formControlPr xmlns="http://schemas.microsoft.com/office/spreadsheetml/2009/9/main" objectType="Drop" dropLines="30" dropStyle="combo" dx="22" fmlaLink="$BC$30" fmlaRange="$BS$70:$BS$135" noThreeD="1" sel="1" val="0"/>
</file>

<file path=xl/ctrlProps/ctrlProp8.xml><?xml version="1.0" encoding="utf-8"?>
<formControlPr xmlns="http://schemas.microsoft.com/office/spreadsheetml/2009/9/main" objectType="Drop" dropLines="30" dropStyle="combo" dx="22" fmlaLink="$BC$12" fmlaRange="$BS$70:$BS$135" noThreeD="1" sel="1" val="0"/>
</file>

<file path=xl/ctrlProps/ctrlProp9.xml><?xml version="1.0" encoding="utf-8"?>
<formControlPr xmlns="http://schemas.microsoft.com/office/spreadsheetml/2009/9/main" objectType="Drop" dropLines="30" dropStyle="combo" dx="22" fmlaLink="$BC$14" fmlaRange="$BS$70:$BS$135" noThreeD="1" sel="1" val="0"/>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476250</xdr:colOff>
      <xdr:row>7</xdr:row>
      <xdr:rowOff>161925</xdr:rowOff>
    </xdr:from>
    <xdr:to>
      <xdr:col>12</xdr:col>
      <xdr:colOff>190500</xdr:colOff>
      <xdr:row>51</xdr:row>
      <xdr:rowOff>152400</xdr:rowOff>
    </xdr:to>
    <xdr:sp macro="" textlink="">
      <xdr:nvSpPr>
        <xdr:cNvPr id="206" name="正方形/長方形 205">
          <a:extLst>
            <a:ext uri="{FF2B5EF4-FFF2-40B4-BE49-F238E27FC236}">
              <a16:creationId xmlns:a16="http://schemas.microsoft.com/office/drawing/2014/main" id="{00000000-0008-0000-0000-0000CE000000}"/>
            </a:ext>
          </a:extLst>
        </xdr:cNvPr>
        <xdr:cNvSpPr/>
      </xdr:nvSpPr>
      <xdr:spPr>
        <a:xfrm>
          <a:off x="476250" y="1905000"/>
          <a:ext cx="2571750" cy="10629900"/>
        </a:xfrm>
        <a:prstGeom prst="rect">
          <a:avLst/>
        </a:prstGeom>
        <a:noFill/>
        <a:ln w="57150">
          <a:solidFill>
            <a:schemeClr val="accent1">
              <a:shade val="50000"/>
              <a:alpha val="37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oneCellAnchor>
    <xdr:from>
      <xdr:col>14</xdr:col>
      <xdr:colOff>240108</xdr:colOff>
      <xdr:row>8</xdr:row>
      <xdr:rowOff>168276</xdr:rowOff>
    </xdr:from>
    <xdr:ext cx="2407134" cy="32573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735783" y="2111376"/>
          <a:ext cx="240713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400" b="1" u="sng">
              <a:solidFill>
                <a:schemeClr val="tx1"/>
              </a:solidFill>
            </a:rPr>
            <a:t>組合せの入力、　成績の記入</a:t>
          </a:r>
        </a:p>
      </xdr:txBody>
    </xdr:sp>
    <xdr:clientData/>
  </xdr:oneCellAnchor>
  <xdr:oneCellAnchor>
    <xdr:from>
      <xdr:col>44</xdr:col>
      <xdr:colOff>135599</xdr:colOff>
      <xdr:row>20</xdr:row>
      <xdr:rowOff>153326</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6377708" y="38442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b="1">
            <a:solidFill>
              <a:srgbClr val="0070C0"/>
            </a:solidFill>
          </a:endParaRPr>
        </a:p>
      </xdr:txBody>
    </xdr:sp>
    <xdr:clientData/>
  </xdr:oneCellAnchor>
  <xdr:oneCellAnchor>
    <xdr:from>
      <xdr:col>39</xdr:col>
      <xdr:colOff>352425</xdr:colOff>
      <xdr:row>28</xdr:row>
      <xdr:rowOff>171450</xdr:rowOff>
    </xdr:from>
    <xdr:ext cx="184731" cy="26456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752975" y="514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33</xdr:col>
      <xdr:colOff>76200</xdr:colOff>
      <xdr:row>42</xdr:row>
      <xdr:rowOff>266700</xdr:rowOff>
    </xdr:from>
    <xdr:ext cx="184731" cy="264560"/>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2009775" y="91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37</xdr:col>
      <xdr:colOff>28575</xdr:colOff>
      <xdr:row>34</xdr:row>
      <xdr:rowOff>104775</xdr:rowOff>
    </xdr:from>
    <xdr:ext cx="184731" cy="264560"/>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3533775" y="6734175"/>
          <a:ext cx="184731" cy="264560"/>
        </a:xfrm>
        <a:prstGeom prst="rect">
          <a:avLst/>
        </a:prstGeom>
        <a:solidFill>
          <a:schemeClr val="bg1"/>
        </a:solidFill>
        <a:ln w="9525"/>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38</xdr:col>
      <xdr:colOff>219075</xdr:colOff>
      <xdr:row>34</xdr:row>
      <xdr:rowOff>57150</xdr:rowOff>
    </xdr:from>
    <xdr:ext cx="184731" cy="264560"/>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095750" y="668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38</xdr:col>
      <xdr:colOff>285750</xdr:colOff>
      <xdr:row>38</xdr:row>
      <xdr:rowOff>180975</xdr:rowOff>
    </xdr:from>
    <xdr:ext cx="184731" cy="264560"/>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162425"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34</xdr:col>
      <xdr:colOff>219075</xdr:colOff>
      <xdr:row>36</xdr:row>
      <xdr:rowOff>47625</xdr:rowOff>
    </xdr:from>
    <xdr:ext cx="184731" cy="264560"/>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619375" y="722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35</xdr:col>
      <xdr:colOff>438150</xdr:colOff>
      <xdr:row>36</xdr:row>
      <xdr:rowOff>200025</xdr:rowOff>
    </xdr:from>
    <xdr:ext cx="184731" cy="264560"/>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086100" y="738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29</xdr:col>
      <xdr:colOff>247650</xdr:colOff>
      <xdr:row>123</xdr:row>
      <xdr:rowOff>28575</xdr:rowOff>
    </xdr:from>
    <xdr:ext cx="184731" cy="264560"/>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6610350" y="1094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22</xdr:col>
      <xdr:colOff>209550</xdr:colOff>
      <xdr:row>8</xdr:row>
      <xdr:rowOff>190501</xdr:rowOff>
    </xdr:from>
    <xdr:ext cx="2152650" cy="285749"/>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8639175" y="2133601"/>
          <a:ext cx="2152650"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b="1" u="none">
              <a:solidFill>
                <a:srgbClr val="0070C0"/>
              </a:solidFill>
            </a:rPr>
            <a:t>フル機能を使う場合はここで選択：</a:t>
          </a:r>
        </a:p>
      </xdr:txBody>
    </xdr:sp>
    <xdr:clientData/>
  </xdr:oneCellAnchor>
  <xdr:twoCellAnchor>
    <xdr:from>
      <xdr:col>28</xdr:col>
      <xdr:colOff>657225</xdr:colOff>
      <xdr:row>30</xdr:row>
      <xdr:rowOff>190223</xdr:rowOff>
    </xdr:from>
    <xdr:to>
      <xdr:col>42</xdr:col>
      <xdr:colOff>190500</xdr:colOff>
      <xdr:row>60</xdr:row>
      <xdr:rowOff>109588</xdr:rowOff>
    </xdr:to>
    <xdr:grpSp>
      <xdr:nvGrpSpPr>
        <xdr:cNvPr id="125" name="グループ化 106">
          <a:extLst>
            <a:ext uri="{FF2B5EF4-FFF2-40B4-BE49-F238E27FC236}">
              <a16:creationId xmlns:a16="http://schemas.microsoft.com/office/drawing/2014/main" id="{00000000-0008-0000-0000-00007D000000}"/>
            </a:ext>
          </a:extLst>
        </xdr:cNvPr>
        <xdr:cNvGrpSpPr/>
      </xdr:nvGrpSpPr>
      <xdr:grpSpPr>
        <a:xfrm>
          <a:off x="12734925" y="7476848"/>
          <a:ext cx="7743825" cy="7548890"/>
          <a:chOff x="404831" y="3195902"/>
          <a:chExt cx="5842121" cy="8419553"/>
        </a:xfrm>
      </xdr:grpSpPr>
      <xdr:grpSp>
        <xdr:nvGrpSpPr>
          <xdr:cNvPr id="130" name="グループ化 72">
            <a:extLst>
              <a:ext uri="{FF2B5EF4-FFF2-40B4-BE49-F238E27FC236}">
                <a16:creationId xmlns:a16="http://schemas.microsoft.com/office/drawing/2014/main" id="{00000000-0008-0000-0000-000082000000}"/>
              </a:ext>
            </a:extLst>
          </xdr:cNvPr>
          <xdr:cNvGrpSpPr/>
        </xdr:nvGrpSpPr>
        <xdr:grpSpPr>
          <a:xfrm>
            <a:off x="1762125" y="7239000"/>
            <a:ext cx="161926" cy="1200150"/>
            <a:chOff x="619124" y="6893985"/>
            <a:chExt cx="333376" cy="2051580"/>
          </a:xfrm>
        </xdr:grpSpPr>
        <xdr:cxnSp macro="">
          <xdr:nvCxnSpPr>
            <xdr:cNvPr id="204" name="直線矢印コネクタ 203">
              <a:extLst>
                <a:ext uri="{FF2B5EF4-FFF2-40B4-BE49-F238E27FC236}">
                  <a16:creationId xmlns:a16="http://schemas.microsoft.com/office/drawing/2014/main" id="{00000000-0008-0000-0000-0000CC000000}"/>
                </a:ext>
              </a:extLst>
            </xdr:cNvPr>
            <xdr:cNvCxnSpPr/>
          </xdr:nvCxnSpPr>
          <xdr:spPr>
            <a:xfrm flipV="1">
              <a:off x="619124" y="6898766"/>
              <a:ext cx="333376" cy="4783"/>
            </a:xfrm>
            <a:prstGeom prst="straightConnector1">
              <a:avLst/>
            </a:prstGeom>
            <a:ln w="19050">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5" name="図形 83">
              <a:extLst>
                <a:ext uri="{FF2B5EF4-FFF2-40B4-BE49-F238E27FC236}">
                  <a16:creationId xmlns:a16="http://schemas.microsoft.com/office/drawing/2014/main" id="{00000000-0008-0000-0000-0000CD000000}"/>
                </a:ext>
              </a:extLst>
            </xdr:cNvPr>
            <xdr:cNvCxnSpPr/>
          </xdr:nvCxnSpPr>
          <xdr:spPr>
            <a:xfrm rot="16200000" flipV="1">
              <a:off x="-311415" y="7824524"/>
              <a:ext cx="2051580" cy="190502"/>
            </a:xfrm>
            <a:prstGeom prst="bentConnector3">
              <a:avLst>
                <a:gd name="adj1" fmla="val 583"/>
              </a:avLst>
            </a:prstGeom>
            <a:ln w="19050">
              <a:solidFill>
                <a:schemeClr val="accent1">
                  <a:lumMod val="75000"/>
                </a:schemeClr>
              </a:solidFill>
              <a:prstDash val="sysDash"/>
            </a:ln>
          </xdr:spPr>
          <xdr:style>
            <a:lnRef idx="1">
              <a:schemeClr val="accent1"/>
            </a:lnRef>
            <a:fillRef idx="0">
              <a:schemeClr val="accent1"/>
            </a:fillRef>
            <a:effectRef idx="0">
              <a:schemeClr val="accent1"/>
            </a:effectRef>
            <a:fontRef idx="minor">
              <a:schemeClr val="tx1"/>
            </a:fontRef>
          </xdr:style>
        </xdr:cxnSp>
      </xdr:grpSp>
      <xdr:grpSp>
        <xdr:nvGrpSpPr>
          <xdr:cNvPr id="131" name="グループ化 105">
            <a:extLst>
              <a:ext uri="{FF2B5EF4-FFF2-40B4-BE49-F238E27FC236}">
                <a16:creationId xmlns:a16="http://schemas.microsoft.com/office/drawing/2014/main" id="{00000000-0008-0000-0000-000083000000}"/>
              </a:ext>
            </a:extLst>
          </xdr:cNvPr>
          <xdr:cNvGrpSpPr/>
        </xdr:nvGrpSpPr>
        <xdr:grpSpPr>
          <a:xfrm>
            <a:off x="404831" y="3195902"/>
            <a:ext cx="5842121" cy="8419553"/>
            <a:chOff x="404831" y="3195902"/>
            <a:chExt cx="5842121" cy="8419553"/>
          </a:xfrm>
        </xdr:grpSpPr>
        <xdr:cxnSp macro="">
          <xdr:nvCxnSpPr>
            <xdr:cNvPr id="132" name="カギ線コネクタ 131">
              <a:extLst>
                <a:ext uri="{FF2B5EF4-FFF2-40B4-BE49-F238E27FC236}">
                  <a16:creationId xmlns:a16="http://schemas.microsoft.com/office/drawing/2014/main" id="{00000000-0008-0000-0000-000084000000}"/>
                </a:ext>
              </a:extLst>
            </xdr:cNvPr>
            <xdr:cNvCxnSpPr/>
          </xdr:nvCxnSpPr>
          <xdr:spPr>
            <a:xfrm rot="10800000" flipV="1">
              <a:off x="2543175" y="5867400"/>
              <a:ext cx="1943100" cy="152400"/>
            </a:xfrm>
            <a:prstGeom prst="bentConnector3">
              <a:avLst>
                <a:gd name="adj1" fmla="val 490"/>
              </a:avLst>
            </a:prstGeom>
            <a:ln w="19050">
              <a:prstDash val="sysDash"/>
              <a:tailEnd type="arrow"/>
            </a:ln>
          </xdr:spPr>
          <xdr:style>
            <a:lnRef idx="1">
              <a:schemeClr val="accent1"/>
            </a:lnRef>
            <a:fillRef idx="0">
              <a:schemeClr val="accent1"/>
            </a:fillRef>
            <a:effectRef idx="0">
              <a:schemeClr val="accent1"/>
            </a:effectRef>
            <a:fontRef idx="minor">
              <a:schemeClr val="tx1"/>
            </a:fontRef>
          </xdr:style>
        </xdr:cxnSp>
        <xdr:grpSp>
          <xdr:nvGrpSpPr>
            <xdr:cNvPr id="134" name="グループ化 103">
              <a:extLst>
                <a:ext uri="{FF2B5EF4-FFF2-40B4-BE49-F238E27FC236}">
                  <a16:creationId xmlns:a16="http://schemas.microsoft.com/office/drawing/2014/main" id="{00000000-0008-0000-0000-000086000000}"/>
                </a:ext>
              </a:extLst>
            </xdr:cNvPr>
            <xdr:cNvGrpSpPr/>
          </xdr:nvGrpSpPr>
          <xdr:grpSpPr>
            <a:xfrm>
              <a:off x="404831" y="3195902"/>
              <a:ext cx="5842121" cy="8419553"/>
              <a:chOff x="405431" y="3284800"/>
              <a:chExt cx="5860209" cy="8425990"/>
            </a:xfrm>
          </xdr:grpSpPr>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2450648" y="8717492"/>
                <a:ext cx="775152" cy="512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rgbClr val="0070C0"/>
                    </a:solidFill>
                  </a:rPr>
                  <a:t>NO</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70C0"/>
                    </a:solidFill>
                    <a:latin typeface="+mn-lt"/>
                    <a:ea typeface="+mn-ea"/>
                    <a:cs typeface="+mn-cs"/>
                  </a:rPr>
                  <a:t>(6)</a:t>
                </a:r>
                <a:r>
                  <a:rPr kumimoji="1" lang="ja-JP" altLang="ja-JP" sz="1100">
                    <a:solidFill>
                      <a:srgbClr val="0070C0"/>
                    </a:solidFill>
                    <a:latin typeface="+mn-lt"/>
                    <a:ea typeface="+mn-ea"/>
                    <a:cs typeface="+mn-cs"/>
                  </a:rPr>
                  <a:t>を</a:t>
                </a:r>
                <a:r>
                  <a:rPr kumimoji="1" lang="ja-JP" altLang="en-US" sz="1100">
                    <a:solidFill>
                      <a:srgbClr val="0070C0"/>
                    </a:solidFill>
                    <a:latin typeface="+mn-lt"/>
                    <a:ea typeface="+mn-ea"/>
                    <a:cs typeface="+mn-cs"/>
                  </a:rPr>
                  <a:t>ｸﾘｯｸ</a:t>
                </a:r>
                <a:endParaRPr lang="ja-JP" altLang="ja-JP">
                  <a:solidFill>
                    <a:srgbClr val="0070C0"/>
                  </a:solidFill>
                </a:endParaRPr>
              </a:p>
              <a:p>
                <a:endParaRPr kumimoji="1" lang="ja-JP" altLang="en-US" sz="1100">
                  <a:solidFill>
                    <a:srgbClr val="0070C0"/>
                  </a:solidFill>
                </a:endParaRPr>
              </a:p>
            </xdr:txBody>
          </xdr:sp>
          <xdr:grpSp>
            <xdr:nvGrpSpPr>
              <xdr:cNvPr id="136" name="グループ化 102">
                <a:extLst>
                  <a:ext uri="{FF2B5EF4-FFF2-40B4-BE49-F238E27FC236}">
                    <a16:creationId xmlns:a16="http://schemas.microsoft.com/office/drawing/2014/main" id="{00000000-0008-0000-0000-000088000000}"/>
                  </a:ext>
                </a:extLst>
              </xdr:cNvPr>
              <xdr:cNvGrpSpPr/>
            </xdr:nvGrpSpPr>
            <xdr:grpSpPr>
              <a:xfrm>
                <a:off x="405431" y="3284800"/>
                <a:ext cx="5860209" cy="8425990"/>
                <a:chOff x="405431" y="3210719"/>
                <a:chExt cx="5860209" cy="8425990"/>
              </a:xfrm>
            </xdr:grpSpPr>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3084553" y="3649133"/>
                  <a:ext cx="3181087" cy="1303236"/>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・「組合せ表」の（黄色）の部分の記入をして下さい</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（日時：月</a:t>
                  </a:r>
                  <a:r>
                    <a:rPr lang="en-US" altLang="ja-JP" sz="10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日、ｽﾀｰﾄ時間：</a:t>
                  </a:r>
                  <a:r>
                    <a:rPr lang="en-US" altLang="ja-JP" sz="1000" b="0" i="0" u="none" strike="noStrike">
                      <a:solidFill>
                        <a:schemeClr val="dk1"/>
                      </a:solidFill>
                      <a:latin typeface="+mn-lt"/>
                      <a:ea typeface="+mn-ea"/>
                      <a:cs typeface="+mn-cs"/>
                    </a:rPr>
                    <a:t>hh</a:t>
                  </a:r>
                  <a:r>
                    <a:rPr lang="ja-JP" altLang="en-US" sz="1000" b="0" i="0" u="none" strike="noStrike">
                      <a:solidFill>
                        <a:schemeClr val="dk1"/>
                      </a:solidFill>
                      <a:latin typeface="+mn-lt"/>
                      <a:ea typeface="+mn-ea"/>
                      <a:cs typeface="+mn-cs"/>
                    </a:rPr>
                    <a:t>：</a:t>
                  </a:r>
                  <a:r>
                    <a:rPr lang="en-US" altLang="ja-JP" sz="1000" b="0" i="0" u="none" strike="noStrike">
                      <a:solidFill>
                        <a:schemeClr val="dk1"/>
                      </a:solidFill>
                      <a:latin typeface="+mn-lt"/>
                      <a:ea typeface="+mn-ea"/>
                      <a:cs typeface="+mn-cs"/>
                    </a:rPr>
                    <a:t>mm</a:t>
                  </a:r>
                  <a:r>
                    <a:rPr lang="ja-JP" altLang="en-US" sz="1000" b="0" i="0" u="none" strike="noStrike">
                      <a:solidFill>
                        <a:schemeClr val="dk1"/>
                      </a:solidFill>
                      <a:latin typeface="+mn-lt"/>
                      <a:ea typeface="+mn-ea"/>
                      <a:cs typeface="+mn-cs"/>
                    </a:rPr>
                    <a:t>、その他は半角数字</a:t>
                  </a:r>
                  <a:r>
                    <a:rPr lang="en-US" altLang="ja-JP" sz="10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漢字入力）</a:t>
                  </a:r>
                  <a:r>
                    <a:rPr lang="ja-JP" altLang="en-US" sz="1000"/>
                    <a:t> </a:t>
                  </a:r>
                  <a:endParaRPr lang="en-US" altLang="ja-JP" sz="1000"/>
                </a:p>
                <a:p>
                  <a:r>
                    <a:rPr lang="ja-JP" altLang="en-US" sz="1000" b="0" i="0" u="none" strike="noStrike">
                      <a:solidFill>
                        <a:schemeClr val="dk1"/>
                      </a:solidFill>
                      <a:latin typeface="+mn-lt"/>
                      <a:ea typeface="+mn-ea"/>
                      <a:cs typeface="+mn-cs"/>
                    </a:rPr>
                    <a:t>・名前はプルダウンで選択、表示させてください</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　　　プルダウン：各欄右側の（</a:t>
                  </a:r>
                  <a:r>
                    <a:rPr lang="ja-JP" altLang="en-US" sz="8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）をクリックしてください</a:t>
                  </a:r>
                  <a:r>
                    <a:rPr lang="ja-JP" altLang="en-US" sz="1000"/>
                    <a:t> </a:t>
                  </a:r>
                  <a:r>
                    <a:rPr lang="ja-JP" altLang="en-US" sz="1000" b="0" i="0" u="none" strike="noStrike">
                      <a:solidFill>
                        <a:schemeClr val="dk1"/>
                      </a:solidFill>
                      <a:latin typeface="+mn-lt"/>
                      <a:ea typeface="+mn-ea"/>
                      <a:cs typeface="+mn-cs"/>
                    </a:rPr>
                    <a:t>全員が</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　　　五十音順にリストされますので必要な名前をクリックして下さい</a:t>
                  </a:r>
                  <a:r>
                    <a:rPr lang="ja-JP" altLang="en-US" sz="1000"/>
                    <a:t> </a:t>
                  </a:r>
                  <a:endParaRPr lang="en-US" altLang="ja-JP" sz="1000"/>
                </a:p>
                <a:p>
                  <a:r>
                    <a:rPr lang="ja-JP" altLang="en-US" sz="1000" b="0" i="0" u="none" strike="noStrike">
                      <a:solidFill>
                        <a:schemeClr val="dk1"/>
                      </a:solidFill>
                      <a:latin typeface="+mn-lt"/>
                      <a:ea typeface="+mn-ea"/>
                      <a:cs typeface="+mn-cs"/>
                    </a:rPr>
                    <a:t>･空欄はﾘｽﾄの最上段にあります（　－－）で表示。</a:t>
                  </a:r>
                  <a:r>
                    <a:rPr lang="ja-JP" altLang="en-US" sz="1000"/>
                    <a:t> </a:t>
                  </a:r>
                  <a:endParaRPr kumimoji="1" lang="ja-JP" altLang="en-US" sz="1000"/>
                </a:p>
              </xdr:txBody>
            </xdr:sp>
            <xdr:grpSp>
              <xdr:nvGrpSpPr>
                <xdr:cNvPr id="138" name="グループ化 101">
                  <a:extLst>
                    <a:ext uri="{FF2B5EF4-FFF2-40B4-BE49-F238E27FC236}">
                      <a16:creationId xmlns:a16="http://schemas.microsoft.com/office/drawing/2014/main" id="{00000000-0008-0000-0000-00008A000000}"/>
                    </a:ext>
                  </a:extLst>
                </xdr:cNvPr>
                <xdr:cNvGrpSpPr/>
              </xdr:nvGrpSpPr>
              <xdr:grpSpPr>
                <a:xfrm>
                  <a:off x="405431" y="3210719"/>
                  <a:ext cx="5838584" cy="8425990"/>
                  <a:chOff x="404831" y="3185319"/>
                  <a:chExt cx="5820563" cy="8419553"/>
                </a:xfrm>
              </xdr:grpSpPr>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47857" y="7398505"/>
                    <a:ext cx="1031887" cy="83760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「変更する」に戻せば再度変更できます。</a:t>
                    </a:r>
                    <a:endParaRPr kumimoji="1" lang="en-US" altLang="ja-JP" sz="900"/>
                  </a:p>
                  <a:p>
                    <a:r>
                      <a:rPr kumimoji="1" lang="ja-JP" altLang="en-US" sz="900"/>
                      <a:t>表示は並替え前</a:t>
                    </a:r>
                    <a:endParaRPr kumimoji="1" lang="en-US" altLang="ja-JP" sz="900"/>
                  </a:p>
                  <a:p>
                    <a:r>
                      <a:rPr kumimoji="1" lang="ja-JP" altLang="en-US" sz="900"/>
                      <a:t>に戻ります</a:t>
                    </a:r>
                    <a:endParaRPr kumimoji="1" lang="en-US" altLang="ja-JP" sz="900"/>
                  </a:p>
                  <a:p>
                    <a:endParaRPr kumimoji="1" lang="en-US" altLang="ja-JP" sz="900"/>
                  </a:p>
                </xdr:txBody>
              </xdr:sp>
              <xdr:sp macro="" textlink="">
                <xdr:nvSpPr>
                  <xdr:cNvPr id="140" name="テキスト ボックス 13">
                    <a:extLst>
                      <a:ext uri="{FF2B5EF4-FFF2-40B4-BE49-F238E27FC236}">
                        <a16:creationId xmlns:a16="http://schemas.microsoft.com/office/drawing/2014/main" id="{00000000-0008-0000-0000-00008C000000}"/>
                      </a:ext>
                    </a:extLst>
                  </xdr:cNvPr>
                  <xdr:cNvSpPr txBox="1"/>
                </xdr:nvSpPr>
                <xdr:spPr>
                  <a:xfrm>
                    <a:off x="2961751" y="4856487"/>
                    <a:ext cx="428008" cy="315142"/>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r>
                      <a:rPr kumimoji="1" lang="en-US" altLang="ja-JP" sz="1100">
                        <a:solidFill>
                          <a:srgbClr val="0070C0"/>
                        </a:solidFill>
                      </a:rPr>
                      <a:t>YES</a:t>
                    </a:r>
                    <a:r>
                      <a:rPr kumimoji="1" lang="ja-JP" altLang="en-US" sz="1100">
                        <a:solidFill>
                          <a:srgbClr val="0070C0"/>
                        </a:solidFill>
                      </a:rPr>
                      <a:t>　</a:t>
                    </a:r>
                  </a:p>
                </xdr:txBody>
              </xdr:sp>
              <xdr:sp macro="" textlink="">
                <xdr:nvSpPr>
                  <xdr:cNvPr id="141" name="上下矢印 140">
                    <a:extLst>
                      <a:ext uri="{FF2B5EF4-FFF2-40B4-BE49-F238E27FC236}">
                        <a16:creationId xmlns:a16="http://schemas.microsoft.com/office/drawing/2014/main" id="{00000000-0008-0000-0000-00008D000000}"/>
                      </a:ext>
                    </a:extLst>
                  </xdr:cNvPr>
                  <xdr:cNvSpPr/>
                </xdr:nvSpPr>
                <xdr:spPr>
                  <a:xfrm>
                    <a:off x="404831" y="3185319"/>
                    <a:ext cx="411955" cy="2891631"/>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参加者</a:t>
                    </a:r>
                    <a:endParaRPr kumimoji="1" lang="en-US" altLang="ja-JP" sz="1100"/>
                  </a:p>
                  <a:p>
                    <a:pPr algn="ctr"/>
                    <a:r>
                      <a:rPr kumimoji="1" lang="ja-JP" altLang="en-US" sz="1100"/>
                      <a:t>入力</a:t>
                    </a:r>
                  </a:p>
                </xdr:txBody>
              </xdr:sp>
              <xdr:sp macro="" textlink="">
                <xdr:nvSpPr>
                  <xdr:cNvPr id="142" name="上下矢印 141">
                    <a:extLst>
                      <a:ext uri="{FF2B5EF4-FFF2-40B4-BE49-F238E27FC236}">
                        <a16:creationId xmlns:a16="http://schemas.microsoft.com/office/drawing/2014/main" id="{00000000-0008-0000-0000-00008E000000}"/>
                      </a:ext>
                    </a:extLst>
                  </xdr:cNvPr>
                  <xdr:cNvSpPr/>
                </xdr:nvSpPr>
                <xdr:spPr>
                  <a:xfrm>
                    <a:off x="404831" y="9982198"/>
                    <a:ext cx="411955" cy="1495969"/>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成績記入</a:t>
                    </a:r>
                  </a:p>
                </xdr:txBody>
              </xdr:sp>
              <xdr:sp macro="" textlink="">
                <xdr:nvSpPr>
                  <xdr:cNvPr id="143" name="上下矢印 142">
                    <a:extLst>
                      <a:ext uri="{FF2B5EF4-FFF2-40B4-BE49-F238E27FC236}">
                        <a16:creationId xmlns:a16="http://schemas.microsoft.com/office/drawing/2014/main" id="{00000000-0008-0000-0000-00008F000000}"/>
                      </a:ext>
                    </a:extLst>
                  </xdr:cNvPr>
                  <xdr:cNvSpPr/>
                </xdr:nvSpPr>
                <xdr:spPr>
                  <a:xfrm>
                    <a:off x="404831" y="6962775"/>
                    <a:ext cx="411955" cy="1933576"/>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変更対応</a:t>
                    </a:r>
                  </a:p>
                </xdr:txBody>
              </xdr:sp>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2857015" y="8141190"/>
                    <a:ext cx="620503" cy="352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70C0"/>
                        </a:solidFill>
                      </a:rPr>
                      <a:t>YES</a:t>
                    </a:r>
                    <a:r>
                      <a:rPr kumimoji="1" lang="ja-JP" altLang="en-US" sz="1100">
                        <a:solidFill>
                          <a:srgbClr val="0070C0"/>
                        </a:solidFill>
                      </a:rPr>
                      <a:t>（推奨）</a:t>
                    </a:r>
                    <a:endParaRPr lang="ja-JP" altLang="ja-JP">
                      <a:solidFill>
                        <a:srgbClr val="0070C0"/>
                      </a:solidFill>
                    </a:endParaRPr>
                  </a:p>
                  <a:p>
                    <a:endParaRPr kumimoji="1" lang="ja-JP" altLang="en-US" sz="1100">
                      <a:solidFill>
                        <a:srgbClr val="0070C0"/>
                      </a:solidFill>
                    </a:endParaRPr>
                  </a:p>
                </xdr:txBody>
              </xdr:sp>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2428422" y="7439025"/>
                    <a:ext cx="781503" cy="537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rgbClr val="0070C0"/>
                        </a:solidFill>
                      </a:rPr>
                      <a:t>NO</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70C0"/>
                        </a:solidFill>
                        <a:latin typeface="+mn-lt"/>
                        <a:ea typeface="+mn-ea"/>
                        <a:cs typeface="+mn-cs"/>
                      </a:rPr>
                      <a:t>(5)</a:t>
                    </a:r>
                    <a:r>
                      <a:rPr kumimoji="1" lang="ja-JP" altLang="ja-JP" sz="1100">
                        <a:solidFill>
                          <a:srgbClr val="0070C0"/>
                        </a:solidFill>
                        <a:latin typeface="+mn-lt"/>
                        <a:ea typeface="+mn-ea"/>
                        <a:cs typeface="+mn-cs"/>
                      </a:rPr>
                      <a:t>を選択</a:t>
                    </a:r>
                    <a:endParaRPr lang="ja-JP" altLang="ja-JP">
                      <a:solidFill>
                        <a:srgbClr val="0070C0"/>
                      </a:solidFill>
                    </a:endParaRPr>
                  </a:p>
                  <a:p>
                    <a:endParaRPr kumimoji="1" lang="ja-JP" altLang="en-US" sz="1100">
                      <a:solidFill>
                        <a:srgbClr val="0070C0"/>
                      </a:solidFill>
                    </a:endParaRPr>
                  </a:p>
                </xdr:txBody>
              </xdr:sp>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4047589" y="4952997"/>
                    <a:ext cx="2177805" cy="1162008"/>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･「ﾗﾝﾀﾞﾑ化する」に変える組合せが</a:t>
                    </a:r>
                    <a:r>
                      <a:rPr lang="ja-JP" altLang="ja-JP" sz="1100" b="0" i="0">
                        <a:solidFill>
                          <a:schemeClr val="dk1"/>
                        </a:solidFill>
                        <a:latin typeface="+mn-lt"/>
                        <a:ea typeface="+mn-ea"/>
                        <a:cs typeface="+mn-cs"/>
                      </a:rPr>
                      <a:t>と乱数的に</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　並び替えられます。</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a:t>
                    </a:r>
                    <a:r>
                      <a:rPr lang="ja-JP" altLang="ja-JP" sz="1100" b="0" i="0">
                        <a:solidFill>
                          <a:schemeClr val="dk1"/>
                        </a:solidFill>
                        <a:latin typeface="+mn-lt"/>
                        <a:ea typeface="+mn-ea"/>
                        <a:cs typeface="+mn-cs"/>
                      </a:rPr>
                      <a:t>ﾗﾝﾀﾞﾑ化</a:t>
                    </a:r>
                    <a:r>
                      <a:rPr lang="ja-JP" altLang="en-US" sz="1000" b="0" i="0" u="none" strike="noStrike">
                        <a:solidFill>
                          <a:schemeClr val="dk1"/>
                        </a:solidFill>
                        <a:latin typeface="+mn-lt"/>
                        <a:ea typeface="+mn-ea"/>
                        <a:cs typeface="+mn-cs"/>
                      </a:rPr>
                      <a:t>する」→「入力通り」→「</a:t>
                    </a:r>
                    <a:r>
                      <a:rPr lang="ja-JP" altLang="ja-JP" sz="1100" b="0" i="0">
                        <a:solidFill>
                          <a:schemeClr val="dk1"/>
                        </a:solidFill>
                        <a:latin typeface="+mn-lt"/>
                        <a:ea typeface="+mn-ea"/>
                        <a:cs typeface="+mn-cs"/>
                      </a:rPr>
                      <a:t>ﾗﾝﾀﾞﾑ化</a:t>
                    </a:r>
                    <a:r>
                      <a:rPr lang="ja-JP" altLang="en-US" sz="1000" b="0" i="0" u="none" strike="noStrike">
                        <a:solidFill>
                          <a:schemeClr val="dk1"/>
                        </a:solidFill>
                        <a:latin typeface="+mn-lt"/>
                        <a:ea typeface="+mn-ea"/>
                        <a:cs typeface="+mn-cs"/>
                      </a:rPr>
                      <a:t>する」</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を繰り返すたびに</a:t>
                    </a:r>
                    <a:r>
                      <a:rPr lang="ja-JP" altLang="en-US" sz="1000"/>
                      <a:t> </a:t>
                    </a:r>
                    <a:r>
                      <a:rPr lang="ja-JP" altLang="en-US" sz="1000" b="0" i="0" u="none" strike="noStrike">
                        <a:solidFill>
                          <a:schemeClr val="dk1"/>
                        </a:solidFill>
                        <a:latin typeface="+mn-lt"/>
                        <a:ea typeface="+mn-ea"/>
                        <a:cs typeface="+mn-cs"/>
                      </a:rPr>
                      <a:t>新しい組合せができます</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･「①入力中」に戻せばｼｬｯﾌﾙ前に戻ります</a:t>
                    </a:r>
                    <a:r>
                      <a:rPr lang="ja-JP" altLang="en-US" sz="1000"/>
                      <a:t> </a:t>
                    </a:r>
                    <a:endParaRPr kumimoji="1" lang="ja-JP" altLang="en-US" sz="1000"/>
                  </a:p>
                </xdr:txBody>
              </xdr:sp>
              <xdr:cxnSp macro="">
                <xdr:nvCxnSpPr>
                  <xdr:cNvPr id="147" name="直線矢印コネクタ 146">
                    <a:extLst>
                      <a:ext uri="{FF2B5EF4-FFF2-40B4-BE49-F238E27FC236}">
                        <a16:creationId xmlns:a16="http://schemas.microsoft.com/office/drawing/2014/main" id="{00000000-0008-0000-0000-000093000000}"/>
                      </a:ext>
                    </a:extLst>
                  </xdr:cNvPr>
                  <xdr:cNvCxnSpPr/>
                </xdr:nvCxnSpPr>
                <xdr:spPr>
                  <a:xfrm>
                    <a:off x="2414122" y="4324350"/>
                    <a:ext cx="2601" cy="505633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2904637" y="6941042"/>
                    <a:ext cx="397360" cy="330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70C0"/>
                        </a:solidFill>
                      </a:rPr>
                      <a:t>YES  </a:t>
                    </a:r>
                    <a:endParaRPr lang="ja-JP" altLang="ja-JP">
                      <a:solidFill>
                        <a:srgbClr val="0070C0"/>
                      </a:solidFill>
                    </a:endParaRPr>
                  </a:p>
                </xdr:txBody>
              </xdr:sp>
              <xdr:cxnSp macro="">
                <xdr:nvCxnSpPr>
                  <xdr:cNvPr id="151" name="直線矢印コネクタ 150">
                    <a:extLst>
                      <a:ext uri="{FF2B5EF4-FFF2-40B4-BE49-F238E27FC236}">
                        <a16:creationId xmlns:a16="http://schemas.microsoft.com/office/drawing/2014/main" id="{00000000-0008-0000-0000-000097000000}"/>
                      </a:ext>
                    </a:extLst>
                  </xdr:cNvPr>
                  <xdr:cNvCxnSpPr/>
                </xdr:nvCxnSpPr>
                <xdr:spPr>
                  <a:xfrm>
                    <a:off x="2876066" y="5114925"/>
                    <a:ext cx="1200634" cy="0"/>
                  </a:xfrm>
                  <a:prstGeom prst="straightConnector1">
                    <a:avLst/>
                  </a:prstGeom>
                  <a:ln w="19050">
                    <a:prstDash val="sysDash"/>
                    <a:tailEnd type="arrow"/>
                  </a:ln>
                  <a:effectLst/>
                </xdr:spPr>
                <xdr:style>
                  <a:lnRef idx="1">
                    <a:schemeClr val="accent1"/>
                  </a:lnRef>
                  <a:fillRef idx="0">
                    <a:schemeClr val="accent1"/>
                  </a:fillRef>
                  <a:effectRef idx="0">
                    <a:schemeClr val="accent1"/>
                  </a:effectRef>
                  <a:fontRef idx="minor">
                    <a:schemeClr val="tx1"/>
                  </a:fontRef>
                </xdr:style>
              </xdr:cxnSp>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4314288" y="8172450"/>
                    <a:ext cx="1496193" cy="900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各組内の並べ方を整備します</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･左から年齢順に</a:t>
                    </a:r>
                    <a:r>
                      <a:rPr lang="ja-JP" altLang="en-US" sz="1000"/>
                      <a:t> </a:t>
                    </a:r>
                    <a:endParaRPr lang="en-US" altLang="ja-JP" sz="1000"/>
                  </a:p>
                  <a:p>
                    <a:r>
                      <a:rPr lang="ja-JP" altLang="en-US" sz="1000" b="0" i="0" u="none" strike="noStrike">
                        <a:solidFill>
                          <a:schemeClr val="dk1"/>
                        </a:solidFill>
                        <a:latin typeface="+mn-lt"/>
                        <a:ea typeface="+mn-ea"/>
                        <a:cs typeface="+mn-cs"/>
                      </a:rPr>
                      <a:t>　･ｷｬﾝｾﾙ、空欄を右端に</a:t>
                    </a:r>
                    <a:r>
                      <a:rPr lang="ja-JP" altLang="en-US" sz="1000"/>
                      <a:t> </a:t>
                    </a:r>
                    <a:endParaRPr lang="en-US" altLang="ja-JP" sz="1000"/>
                  </a:p>
                  <a:p>
                    <a:r>
                      <a:rPr lang="ja-JP" altLang="en-US" sz="1000" b="0" i="0" u="none" strike="noStrike">
                        <a:solidFill>
                          <a:schemeClr val="dk1"/>
                        </a:solidFill>
                        <a:latin typeface="+mn-lt"/>
                        <a:ea typeface="+mn-ea"/>
                        <a:cs typeface="+mn-cs"/>
                      </a:rPr>
                      <a:t>　･幹事を右端に</a:t>
                    </a:r>
                    <a:r>
                      <a:rPr lang="ja-JP" altLang="en-US" sz="1000"/>
                      <a:t>  </a:t>
                    </a:r>
                    <a:endParaRPr kumimoji="1" lang="ja-JP" altLang="en-US" sz="1000"/>
                  </a:p>
                </xdr:txBody>
              </xdr:sp>
              <xdr:sp macro="" textlink="">
                <xdr:nvSpPr>
                  <xdr:cNvPr id="153" name="角丸四角形 152">
                    <a:extLst>
                      <a:ext uri="{FF2B5EF4-FFF2-40B4-BE49-F238E27FC236}">
                        <a16:creationId xmlns:a16="http://schemas.microsoft.com/office/drawing/2014/main" id="{00000000-0008-0000-0000-000099000000}"/>
                      </a:ext>
                    </a:extLst>
                  </xdr:cNvPr>
                  <xdr:cNvSpPr/>
                </xdr:nvSpPr>
                <xdr:spPr>
                  <a:xfrm>
                    <a:off x="1652961" y="9404771"/>
                    <a:ext cx="3447912" cy="457200"/>
                  </a:xfrm>
                  <a:prstGeom prst="roundRect">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2438900" y="9395247"/>
                    <a:ext cx="2077115" cy="5361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000"/>
                      <a:t>メール添付組合せ表、クラブ提出用組合せ表</a:t>
                    </a:r>
                    <a:endParaRPr kumimoji="1" lang="en-US" altLang="ja-JP" sz="1000"/>
                  </a:p>
                  <a:p>
                    <a:r>
                      <a:rPr kumimoji="1" lang="ja-JP" altLang="en-US" sz="1000"/>
                      <a:t>スコア記入依頼用紙が自動生成されます</a:t>
                    </a:r>
                  </a:p>
                </xdr:txBody>
              </xdr:sp>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1780736" y="10848974"/>
                    <a:ext cx="2252598" cy="755898"/>
                  </a:xfrm>
                  <a:prstGeom prst="rect">
                    <a:avLst/>
                  </a:prstGeom>
                  <a:solidFill>
                    <a:schemeClr val="accent3">
                      <a:lumMod val="20000"/>
                      <a:lumOff val="80000"/>
                    </a:schemeClr>
                  </a:solidFill>
                  <a:ln w="28575">
                    <a:solidFill>
                      <a:srgbClr val="0070C0"/>
                    </a:solidFill>
                  </a:ln>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r>
                      <a:rPr kumimoji="1" lang="ja-JP" altLang="ja-JP" sz="1100">
                        <a:solidFill>
                          <a:schemeClr val="dk1"/>
                        </a:solidFill>
                        <a:latin typeface="+mn-lt"/>
                        <a:ea typeface="+mn-ea"/>
                        <a:cs typeface="+mn-cs"/>
                      </a:rPr>
                      <a:t>組合せ表のスコア記入欄、ｽｺｱ記入依頼用紙、</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又は成績表にスコアを記入して下さい。</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（いずれか一つのみを使用して下さい）</a:t>
                    </a:r>
                    <a:endParaRPr lang="ja-JP" altLang="ja-JP"/>
                  </a:p>
                </xdr:txBody>
              </xdr:sp>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3952343" y="6867525"/>
                    <a:ext cx="2099479" cy="836107"/>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･「ｷｬﾝｾﾙ」はﾌﾟﾙﾀﾞｳﾝﾒﾆｭｰのｷｬﾝｾﾙ</a:t>
                    </a:r>
                    <a:r>
                      <a:rPr lang="en-US" altLang="ja-JP" sz="1000" b="0" i="0" u="none" strike="noStrike">
                        <a:solidFill>
                          <a:schemeClr val="dk1"/>
                        </a:solidFill>
                        <a:latin typeface="+mn-lt"/>
                        <a:ea typeface="+mn-ea"/>
                        <a:cs typeface="+mn-cs"/>
                      </a:rPr>
                      <a:t>1,2,,7</a:t>
                    </a:r>
                    <a:r>
                      <a:rPr lang="ja-JP" altLang="en-US" sz="1000" b="0" i="0" u="none" strike="noStrike">
                        <a:solidFill>
                          <a:schemeClr val="dk1"/>
                        </a:solidFill>
                        <a:latin typeface="+mn-lt"/>
                        <a:ea typeface="+mn-ea"/>
                        <a:cs typeface="+mn-cs"/>
                      </a:rPr>
                      <a:t>を</a:t>
                    </a:r>
                    <a:endParaRPr lang="en-US" altLang="ja-JP" sz="1000" b="0" i="0" u="none" strike="noStrike">
                      <a:solidFill>
                        <a:schemeClr val="dk1"/>
                      </a:solidFill>
                      <a:latin typeface="+mn-lt"/>
                      <a:ea typeface="+mn-ea"/>
                      <a:cs typeface="+mn-cs"/>
                    </a:endParaRPr>
                  </a:p>
                  <a:p>
                    <a:r>
                      <a:rPr lang="en-US" altLang="ja-JP" sz="1000" b="0" i="0" u="none" strike="noStrike">
                        <a:solidFill>
                          <a:schemeClr val="dk1"/>
                        </a:solidFill>
                        <a:latin typeface="+mn-lt"/>
                        <a:ea typeface="+mn-ea"/>
                        <a:cs typeface="+mn-cs"/>
                      </a:rPr>
                      <a:t>  </a:t>
                    </a:r>
                    <a:r>
                      <a:rPr lang="ja-JP" altLang="en-US" sz="1000" b="0" i="0" u="none" strike="noStrike">
                        <a:solidFill>
                          <a:schemeClr val="dk1"/>
                        </a:solidFill>
                        <a:latin typeface="+mn-lt"/>
                        <a:ea typeface="+mn-ea"/>
                        <a:cs typeface="+mn-cs"/>
                      </a:rPr>
                      <a:t>順に使ってください。</a:t>
                    </a:r>
                    <a:r>
                      <a:rPr lang="en-US" altLang="ja-JP" sz="1000" b="0" i="0" u="none" strike="noStrike">
                        <a:solidFill>
                          <a:schemeClr val="dk1"/>
                        </a:solidFill>
                        <a:latin typeface="+mn-lt"/>
                        <a:ea typeface="+mn-ea"/>
                        <a:cs typeface="+mn-cs"/>
                      </a:rPr>
                      <a:t>7</a:t>
                    </a:r>
                    <a:r>
                      <a:rPr lang="ja-JP" altLang="en-US" sz="1000" b="0" i="0" u="none" strike="noStrike">
                        <a:solidFill>
                          <a:schemeClr val="dk1"/>
                        </a:solidFill>
                        <a:latin typeface="+mn-lt"/>
                        <a:ea typeface="+mn-ea"/>
                        <a:cs typeface="+mn-cs"/>
                      </a:rPr>
                      <a:t>名まで可能です</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･その他の変更もﾌﾟﾙﾀﾞｳﾝﾒﾆｭｰで行ってください</a:t>
                    </a:r>
                    <a:r>
                      <a:rPr lang="ja-JP" altLang="en-US" sz="1000"/>
                      <a:t>  </a:t>
                    </a:r>
                    <a:endParaRPr lang="en-US" altLang="ja-JP" sz="1000"/>
                  </a:p>
                </xdr:txBody>
              </xdr:sp>
              <xdr:grpSp>
                <xdr:nvGrpSpPr>
                  <xdr:cNvPr id="160" name="グループ化 88">
                    <a:extLst>
                      <a:ext uri="{FF2B5EF4-FFF2-40B4-BE49-F238E27FC236}">
                        <a16:creationId xmlns:a16="http://schemas.microsoft.com/office/drawing/2014/main" id="{00000000-0008-0000-0000-0000A0000000}"/>
                      </a:ext>
                    </a:extLst>
                  </xdr:cNvPr>
                  <xdr:cNvGrpSpPr/>
                </xdr:nvGrpSpPr>
                <xdr:grpSpPr>
                  <a:xfrm>
                    <a:off x="1971239" y="4933949"/>
                    <a:ext cx="976430" cy="411553"/>
                    <a:chOff x="1933575" y="4410074"/>
                    <a:chExt cx="976465" cy="411553"/>
                  </a:xfrm>
                </xdr:grpSpPr>
                <xdr:sp macro="" textlink="">
                  <xdr:nvSpPr>
                    <xdr:cNvPr id="202" name="フローチャート : 判断 51">
                      <a:extLst>
                        <a:ext uri="{FF2B5EF4-FFF2-40B4-BE49-F238E27FC236}">
                          <a16:creationId xmlns:a16="http://schemas.microsoft.com/office/drawing/2014/main" id="{00000000-0008-0000-0000-0000CA000000}"/>
                        </a:ext>
                      </a:extLst>
                    </xdr:cNvPr>
                    <xdr:cNvSpPr/>
                  </xdr:nvSpPr>
                  <xdr:spPr>
                    <a:xfrm>
                      <a:off x="1933575" y="4410074"/>
                      <a:ext cx="885825" cy="361949"/>
                    </a:xfrm>
                    <a:prstGeom prst="flowChartDecision">
                      <a:avLst/>
                    </a:prstGeom>
                    <a:solidFill>
                      <a:schemeClr val="accent3">
                        <a:lumMod val="20000"/>
                        <a:lumOff val="8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　　</a:t>
                      </a:r>
                      <a:endParaRPr kumimoji="1" lang="en-US" altLang="ja-JP" sz="1100"/>
                    </a:p>
                    <a:p>
                      <a:pPr algn="ctr"/>
                      <a:endParaRPr kumimoji="1" lang="ja-JP" altLang="en-US" sz="1100">
                        <a:solidFill>
                          <a:sysClr val="windowText" lastClr="000000"/>
                        </a:solidFill>
                      </a:endParaRPr>
                    </a:p>
                  </xdr:txBody>
                </xdr:sp>
                <xdr:sp macro="" textlink="">
                  <xdr:nvSpPr>
                    <xdr:cNvPr id="203" name="テキスト ボックス 53">
                      <a:extLst>
                        <a:ext uri="{FF2B5EF4-FFF2-40B4-BE49-F238E27FC236}">
                          <a16:creationId xmlns:a16="http://schemas.microsoft.com/office/drawing/2014/main" id="{00000000-0008-0000-0000-0000CB000000}"/>
                        </a:ext>
                      </a:extLst>
                    </xdr:cNvPr>
                    <xdr:cNvSpPr txBox="1"/>
                  </xdr:nvSpPr>
                  <xdr:spPr>
                    <a:xfrm>
                      <a:off x="2131243" y="4431957"/>
                      <a:ext cx="778797" cy="389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ﾗﾝﾀﾞﾑ化？</a:t>
                      </a:r>
                    </a:p>
                  </xdr:txBody>
                </xdr:sp>
              </xdr:grpSp>
              <xdr:grpSp>
                <xdr:nvGrpSpPr>
                  <xdr:cNvPr id="161" name="グループ化 85">
                    <a:extLst>
                      <a:ext uri="{FF2B5EF4-FFF2-40B4-BE49-F238E27FC236}">
                        <a16:creationId xmlns:a16="http://schemas.microsoft.com/office/drawing/2014/main" id="{00000000-0008-0000-0000-0000A1000000}"/>
                      </a:ext>
                    </a:extLst>
                  </xdr:cNvPr>
                  <xdr:cNvGrpSpPr/>
                </xdr:nvGrpSpPr>
                <xdr:grpSpPr>
                  <a:xfrm>
                    <a:off x="1913266" y="6153156"/>
                    <a:ext cx="1039099" cy="390526"/>
                    <a:chOff x="1009650" y="6190789"/>
                    <a:chExt cx="933450" cy="342900"/>
                  </a:xfrm>
                </xdr:grpSpPr>
                <xdr:sp macro="" textlink="">
                  <xdr:nvSpPr>
                    <xdr:cNvPr id="200" name="フローチャート : 代替処理 199">
                      <a:extLst>
                        <a:ext uri="{FF2B5EF4-FFF2-40B4-BE49-F238E27FC236}">
                          <a16:creationId xmlns:a16="http://schemas.microsoft.com/office/drawing/2014/main" id="{00000000-0008-0000-0000-0000C8000000}"/>
                        </a:ext>
                      </a:extLst>
                    </xdr:cNvPr>
                    <xdr:cNvSpPr/>
                  </xdr:nvSpPr>
                  <xdr:spPr>
                    <a:xfrm>
                      <a:off x="1009650" y="6190789"/>
                      <a:ext cx="933450" cy="342900"/>
                    </a:xfrm>
                    <a:prstGeom prst="flowChartAlternateProcess">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01" name="テキスト ボックス 200">
                      <a:extLst>
                        <a:ext uri="{FF2B5EF4-FFF2-40B4-BE49-F238E27FC236}">
                          <a16:creationId xmlns:a16="http://schemas.microsoft.com/office/drawing/2014/main" id="{00000000-0008-0000-0000-0000C9000000}"/>
                        </a:ext>
                      </a:extLst>
                    </xdr:cNvPr>
                    <xdr:cNvSpPr txBox="1"/>
                  </xdr:nvSpPr>
                  <xdr:spPr>
                    <a:xfrm>
                      <a:off x="1053164" y="6230200"/>
                      <a:ext cx="871707" cy="2533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組合せの保存</a:t>
                      </a:r>
                      <a:endParaRPr kumimoji="1" lang="en-US" altLang="ja-JP" sz="1100"/>
                    </a:p>
                    <a:p>
                      <a:endParaRPr kumimoji="1" lang="en-US" altLang="ja-JP" sz="1100"/>
                    </a:p>
                  </xdr:txBody>
                </xdr:sp>
              </xdr:grpSp>
              <xdr:grpSp>
                <xdr:nvGrpSpPr>
                  <xdr:cNvPr id="162" name="グループ化 71">
                    <a:extLst>
                      <a:ext uri="{FF2B5EF4-FFF2-40B4-BE49-F238E27FC236}">
                        <a16:creationId xmlns:a16="http://schemas.microsoft.com/office/drawing/2014/main" id="{00000000-0008-0000-0000-0000A2000000}"/>
                      </a:ext>
                    </a:extLst>
                  </xdr:cNvPr>
                  <xdr:cNvGrpSpPr/>
                </xdr:nvGrpSpPr>
                <xdr:grpSpPr>
                  <a:xfrm>
                    <a:off x="1885505" y="3714750"/>
                    <a:ext cx="1065451" cy="885825"/>
                    <a:chOff x="914400" y="2886075"/>
                    <a:chExt cx="1065493" cy="885825"/>
                  </a:xfrm>
                </xdr:grpSpPr>
                <xdr:sp macro="" textlink="">
                  <xdr:nvSpPr>
                    <xdr:cNvPr id="195" name="フローチャート : 代替処理 194">
                      <a:extLst>
                        <a:ext uri="{FF2B5EF4-FFF2-40B4-BE49-F238E27FC236}">
                          <a16:creationId xmlns:a16="http://schemas.microsoft.com/office/drawing/2014/main" id="{00000000-0008-0000-0000-0000C3000000}"/>
                        </a:ext>
                      </a:extLst>
                    </xdr:cNvPr>
                    <xdr:cNvSpPr/>
                  </xdr:nvSpPr>
                  <xdr:spPr>
                    <a:xfrm>
                      <a:off x="914400" y="2886075"/>
                      <a:ext cx="1057275" cy="885825"/>
                    </a:xfrm>
                    <a:prstGeom prst="flowChartAlternateProcess">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000"/>
                    </a:p>
                  </xdr:txBody>
                </xdr:sp>
                <xdr:grpSp>
                  <xdr:nvGrpSpPr>
                    <xdr:cNvPr id="196" name="グループ化 70">
                      <a:extLst>
                        <a:ext uri="{FF2B5EF4-FFF2-40B4-BE49-F238E27FC236}">
                          <a16:creationId xmlns:a16="http://schemas.microsoft.com/office/drawing/2014/main" id="{00000000-0008-0000-0000-0000C4000000}"/>
                        </a:ext>
                      </a:extLst>
                    </xdr:cNvPr>
                    <xdr:cNvGrpSpPr/>
                  </xdr:nvGrpSpPr>
                  <xdr:grpSpPr>
                    <a:xfrm>
                      <a:off x="1021804" y="2950449"/>
                      <a:ext cx="958089" cy="794824"/>
                      <a:chOff x="1021804" y="2950449"/>
                      <a:chExt cx="958089" cy="794824"/>
                    </a:xfrm>
                  </xdr:grpSpPr>
                  <xdr:sp macro="" textlink="">
                    <xdr:nvSpPr>
                      <xdr:cNvPr id="197" name="テキスト ボックス 196">
                        <a:extLst>
                          <a:ext uri="{FF2B5EF4-FFF2-40B4-BE49-F238E27FC236}">
                            <a16:creationId xmlns:a16="http://schemas.microsoft.com/office/drawing/2014/main" id="{00000000-0008-0000-0000-0000C5000000}"/>
                          </a:ext>
                        </a:extLst>
                      </xdr:cNvPr>
                      <xdr:cNvSpPr txBox="1"/>
                    </xdr:nvSpPr>
                    <xdr:spPr>
                      <a:xfrm>
                        <a:off x="1021804" y="2950449"/>
                        <a:ext cx="958089" cy="3384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t>  名前</a:t>
                        </a:r>
                        <a:r>
                          <a:rPr kumimoji="1" lang="en-US" altLang="ja-JP" sz="1000"/>
                          <a:t>,</a:t>
                        </a:r>
                        <a:r>
                          <a:rPr kumimoji="1" lang="ja-JP" altLang="en-US" sz="1000"/>
                          <a:t>他入力開始</a:t>
                        </a:r>
                        <a:endParaRPr kumimoji="1" lang="en-US" altLang="ja-JP" sz="1000"/>
                      </a:p>
                      <a:p>
                        <a:endParaRPr kumimoji="1" lang="en-US" altLang="ja-JP" sz="1000"/>
                      </a:p>
                    </xdr:txBody>
                  </xdr:sp>
                  <xdr:sp macro="" textlink="">
                    <xdr:nvSpPr>
                      <xdr:cNvPr id="198" name="テキスト ボックス 197">
                        <a:extLst>
                          <a:ext uri="{FF2B5EF4-FFF2-40B4-BE49-F238E27FC236}">
                            <a16:creationId xmlns:a16="http://schemas.microsoft.com/office/drawing/2014/main" id="{00000000-0008-0000-0000-0000C6000000}"/>
                          </a:ext>
                        </a:extLst>
                      </xdr:cNvPr>
                      <xdr:cNvSpPr txBox="1"/>
                    </xdr:nvSpPr>
                    <xdr:spPr>
                      <a:xfrm>
                        <a:off x="1202528" y="3439999"/>
                        <a:ext cx="572583" cy="305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入力完了</a:t>
                        </a:r>
                        <a:endParaRPr lang="ja-JP" altLang="ja-JP" sz="1000"/>
                      </a:p>
                    </xdr:txBody>
                  </xdr:sp>
                  <xdr:sp macro="" textlink="">
                    <xdr:nvSpPr>
                      <xdr:cNvPr id="199" name="下矢印 198">
                        <a:extLst>
                          <a:ext uri="{FF2B5EF4-FFF2-40B4-BE49-F238E27FC236}">
                            <a16:creationId xmlns:a16="http://schemas.microsoft.com/office/drawing/2014/main" id="{00000000-0008-0000-0000-0000C7000000}"/>
                          </a:ext>
                        </a:extLst>
                      </xdr:cNvPr>
                      <xdr:cNvSpPr/>
                    </xdr:nvSpPr>
                    <xdr:spPr>
                      <a:xfrm>
                        <a:off x="1347786" y="3231789"/>
                        <a:ext cx="190500" cy="219075"/>
                      </a:xfrm>
                      <a:prstGeom prst="downArrow">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grpSp>
              </xdr:grpSp>
              <xdr:grpSp>
                <xdr:nvGrpSpPr>
                  <xdr:cNvPr id="163" name="グループ化 90">
                    <a:extLst>
                      <a:ext uri="{FF2B5EF4-FFF2-40B4-BE49-F238E27FC236}">
                        <a16:creationId xmlns:a16="http://schemas.microsoft.com/office/drawing/2014/main" id="{00000000-0008-0000-0000-0000A3000000}"/>
                      </a:ext>
                    </a:extLst>
                  </xdr:cNvPr>
                  <xdr:cNvGrpSpPr/>
                </xdr:nvGrpSpPr>
                <xdr:grpSpPr>
                  <a:xfrm>
                    <a:off x="1980756" y="8229599"/>
                    <a:ext cx="925244" cy="408591"/>
                    <a:chOff x="1943100" y="7839074"/>
                    <a:chExt cx="925279" cy="408591"/>
                  </a:xfrm>
                </xdr:grpSpPr>
                <xdr:sp macro="" textlink="">
                  <xdr:nvSpPr>
                    <xdr:cNvPr id="193" name="フローチャート : 判断 192">
                      <a:extLst>
                        <a:ext uri="{FF2B5EF4-FFF2-40B4-BE49-F238E27FC236}">
                          <a16:creationId xmlns:a16="http://schemas.microsoft.com/office/drawing/2014/main" id="{00000000-0008-0000-0000-0000C1000000}"/>
                        </a:ext>
                      </a:extLst>
                    </xdr:cNvPr>
                    <xdr:cNvSpPr/>
                  </xdr:nvSpPr>
                  <xdr:spPr>
                    <a:xfrm>
                      <a:off x="1943100" y="7839074"/>
                      <a:ext cx="885825" cy="361949"/>
                    </a:xfrm>
                    <a:prstGeom prst="flowChartDecision">
                      <a:avLst/>
                    </a:prstGeom>
                    <a:solidFill>
                      <a:schemeClr val="accent3">
                        <a:lumMod val="20000"/>
                        <a:lumOff val="8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　　</a:t>
                      </a:r>
                      <a:endParaRPr kumimoji="1" lang="en-US" altLang="ja-JP" sz="1100"/>
                    </a:p>
                    <a:p>
                      <a:pPr algn="ctr"/>
                      <a:endParaRPr kumimoji="1" lang="ja-JP" altLang="en-US" sz="1100">
                        <a:solidFill>
                          <a:sysClr val="windowText" lastClr="000000"/>
                        </a:solidFill>
                      </a:endParaRPr>
                    </a:p>
                  </xdr:txBody>
                </xdr:sp>
                <xdr:sp macro="" textlink="">
                  <xdr:nvSpPr>
                    <xdr:cNvPr id="194" name="テキスト ボックス 193">
                      <a:extLst>
                        <a:ext uri="{FF2B5EF4-FFF2-40B4-BE49-F238E27FC236}">
                          <a16:creationId xmlns:a16="http://schemas.microsoft.com/office/drawing/2014/main" id="{00000000-0008-0000-0000-0000C2000000}"/>
                        </a:ext>
                      </a:extLst>
                    </xdr:cNvPr>
                    <xdr:cNvSpPr txBox="1"/>
                  </xdr:nvSpPr>
                  <xdr:spPr>
                    <a:xfrm>
                      <a:off x="2183257" y="7885356"/>
                      <a:ext cx="685122" cy="3623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000"/>
                        <a:t>整備？</a:t>
                      </a:r>
                    </a:p>
                  </xdr:txBody>
                </xdr:sp>
              </xdr:grpSp>
              <xdr:cxnSp macro="">
                <xdr:nvCxnSpPr>
                  <xdr:cNvPr id="164" name="直線矢印コネクタ 163">
                    <a:extLst>
                      <a:ext uri="{FF2B5EF4-FFF2-40B4-BE49-F238E27FC236}">
                        <a16:creationId xmlns:a16="http://schemas.microsoft.com/office/drawing/2014/main" id="{00000000-0008-0000-0000-0000A4000000}"/>
                      </a:ext>
                    </a:extLst>
                  </xdr:cNvPr>
                  <xdr:cNvCxnSpPr/>
                </xdr:nvCxnSpPr>
                <xdr:spPr>
                  <a:xfrm flipH="1" flipV="1">
                    <a:off x="2405299" y="7192885"/>
                    <a:ext cx="451715" cy="27065"/>
                  </a:xfrm>
                  <a:prstGeom prst="straightConnector1">
                    <a:avLst/>
                  </a:prstGeom>
                  <a:ln w="19050">
                    <a:prstDash val="sysDash"/>
                    <a:tailEnd type="arrow"/>
                  </a:ln>
                  <a:effectLst/>
                </xdr:spPr>
                <xdr:style>
                  <a:lnRef idx="1">
                    <a:schemeClr val="accent1"/>
                  </a:lnRef>
                  <a:fillRef idx="0">
                    <a:schemeClr val="accent1"/>
                  </a:fillRef>
                  <a:effectRef idx="0">
                    <a:schemeClr val="accent1"/>
                  </a:effectRef>
                  <a:fontRef idx="minor">
                    <a:schemeClr val="tx1"/>
                  </a:fontRef>
                </xdr:style>
              </xdr:cxnSp>
              <xdr:cxnSp macro="">
                <xdr:nvCxnSpPr>
                  <xdr:cNvPr id="165" name="直線矢印コネクタ 164">
                    <a:extLst>
                      <a:ext uri="{FF2B5EF4-FFF2-40B4-BE49-F238E27FC236}">
                        <a16:creationId xmlns:a16="http://schemas.microsoft.com/office/drawing/2014/main" id="{00000000-0008-0000-0000-0000A5000000}"/>
                      </a:ext>
                    </a:extLst>
                  </xdr:cNvPr>
                  <xdr:cNvCxnSpPr/>
                </xdr:nvCxnSpPr>
                <xdr:spPr>
                  <a:xfrm>
                    <a:off x="4709174" y="9044371"/>
                    <a:ext cx="542" cy="356875"/>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6" name="直線矢印コネクタ 165">
                    <a:extLst>
                      <a:ext uri="{FF2B5EF4-FFF2-40B4-BE49-F238E27FC236}">
                        <a16:creationId xmlns:a16="http://schemas.microsoft.com/office/drawing/2014/main" id="{00000000-0008-0000-0000-0000A6000000}"/>
                      </a:ext>
                    </a:extLst>
                  </xdr:cNvPr>
                  <xdr:cNvCxnSpPr/>
                </xdr:nvCxnSpPr>
                <xdr:spPr>
                  <a:xfrm>
                    <a:off x="2668282" y="9848850"/>
                    <a:ext cx="0" cy="99674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7" name="フローチャート : 判断 166">
                    <a:extLst>
                      <a:ext uri="{FF2B5EF4-FFF2-40B4-BE49-F238E27FC236}">
                        <a16:creationId xmlns:a16="http://schemas.microsoft.com/office/drawing/2014/main" id="{00000000-0008-0000-0000-0000A7000000}"/>
                      </a:ext>
                    </a:extLst>
                  </xdr:cNvPr>
                  <xdr:cNvSpPr/>
                </xdr:nvSpPr>
                <xdr:spPr>
                  <a:xfrm>
                    <a:off x="1980751" y="7038974"/>
                    <a:ext cx="885790" cy="361949"/>
                  </a:xfrm>
                  <a:prstGeom prst="flowChartDecision">
                    <a:avLst/>
                  </a:prstGeom>
                  <a:solidFill>
                    <a:schemeClr val="accent3">
                      <a:lumMod val="20000"/>
                      <a:lumOff val="8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　　</a:t>
                    </a:r>
                    <a:endParaRPr kumimoji="1" lang="en-US" altLang="ja-JP" sz="1100"/>
                  </a:p>
                  <a:p>
                    <a:pPr algn="ctr"/>
                    <a:endParaRPr kumimoji="1" lang="ja-JP" altLang="en-US" sz="1100">
                      <a:solidFill>
                        <a:sysClr val="windowText" lastClr="000000"/>
                      </a:solidFill>
                    </a:endParaRPr>
                  </a:p>
                </xdr:txBody>
              </xdr:sp>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2229749" y="7074391"/>
                    <a:ext cx="569365" cy="3249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000">
                        <a:solidFill>
                          <a:schemeClr val="tx1"/>
                        </a:solidFill>
                      </a:rPr>
                      <a:t>修正？</a:t>
                    </a:r>
                  </a:p>
                </xdr:txBody>
              </xdr:sp>
              <xdr:cxnSp macro="">
                <xdr:nvCxnSpPr>
                  <xdr:cNvPr id="169" name="直線矢印コネクタ 168">
                    <a:extLst>
                      <a:ext uri="{FF2B5EF4-FFF2-40B4-BE49-F238E27FC236}">
                        <a16:creationId xmlns:a16="http://schemas.microsoft.com/office/drawing/2014/main" id="{00000000-0008-0000-0000-0000A9000000}"/>
                      </a:ext>
                    </a:extLst>
                  </xdr:cNvPr>
                  <xdr:cNvCxnSpPr/>
                </xdr:nvCxnSpPr>
                <xdr:spPr>
                  <a:xfrm>
                    <a:off x="2857015" y="8410575"/>
                    <a:ext cx="1514960" cy="0"/>
                  </a:xfrm>
                  <a:prstGeom prst="straightConnector1">
                    <a:avLst/>
                  </a:prstGeom>
                  <a:ln w="19050">
                    <a:prstDash val="sysDash"/>
                    <a:tailEnd type="arrow"/>
                  </a:ln>
                  <a:effectLst/>
                </xdr:spPr>
                <xdr:style>
                  <a:lnRef idx="1">
                    <a:schemeClr val="accent1"/>
                  </a:lnRef>
                  <a:fillRef idx="0">
                    <a:schemeClr val="accent1"/>
                  </a:fillRef>
                  <a:effectRef idx="0">
                    <a:schemeClr val="accent1"/>
                  </a:effectRef>
                  <a:fontRef idx="minor">
                    <a:schemeClr val="tx1"/>
                  </a:fontRef>
                </xdr:style>
              </xdr:cxnSp>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3489326" y="10298884"/>
                    <a:ext cx="2489362" cy="512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t>･直前のｷｬﾝｾﾙ等の変更が組合せ表上で出来ます</a:t>
                    </a:r>
                    <a:endParaRPr kumimoji="1" lang="en-US" altLang="ja-JP" sz="1000"/>
                  </a:p>
                  <a:p>
                    <a:r>
                      <a:rPr kumimoji="1" lang="ja-JP" altLang="en-US" sz="1000"/>
                      <a:t>　結果はｼｰﾄ②～④へ反映されます</a:t>
                    </a:r>
                  </a:p>
                </xdr:txBody>
              </xdr:sp>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1304924" y="3895726"/>
                    <a:ext cx="428625" cy="400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(1)</a:t>
                    </a:r>
                  </a:p>
                </xdr:txBody>
              </xdr:sp>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1304924" y="10153650"/>
                    <a:ext cx="419100" cy="443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(6)</a:t>
                    </a:r>
                    <a:endParaRPr kumimoji="1" lang="ja-JP" altLang="en-US" sz="1600" b="0"/>
                  </a:p>
                </xdr:txBody>
              </xdr:sp>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1304924" y="6153150"/>
                    <a:ext cx="447675" cy="4243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(3)</a:t>
                    </a:r>
                  </a:p>
                </xdr:txBody>
              </xdr:sp>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1304924" y="8286749"/>
                    <a:ext cx="428625" cy="427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(5)</a:t>
                    </a:r>
                    <a:endParaRPr kumimoji="1" lang="ja-JP" altLang="en-US" sz="1600" b="0"/>
                  </a:p>
                </xdr:txBody>
              </xdr:sp>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1304924" y="6943725"/>
                    <a:ext cx="495300" cy="393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(4)</a:t>
                    </a:r>
                  </a:p>
                </xdr:txBody>
              </xdr:sp>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1304924" y="4981575"/>
                    <a:ext cx="486112" cy="4616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(2)</a:t>
                    </a:r>
                  </a:p>
                  <a:p>
                    <a:endParaRPr kumimoji="1" lang="ja-JP" altLang="en-US" sz="1600" b="0"/>
                  </a:p>
                </xdr:txBody>
              </xdr:sp>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2981324" y="6210299"/>
                    <a:ext cx="678710" cy="314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rgbClr val="0070C0"/>
                        </a:solidFill>
                      </a:rPr>
                      <a:t>【MUST】</a:t>
                    </a:r>
                    <a:endParaRPr kumimoji="1" lang="ja-JP" altLang="en-US" sz="1100" b="1">
                      <a:solidFill>
                        <a:srgbClr val="0070C0"/>
                      </a:solidFill>
                    </a:endParaRPr>
                  </a:p>
                </xdr:txBody>
              </xdr:sp>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3333750" y="10078924"/>
                    <a:ext cx="728694" cy="314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rgbClr val="0070C0"/>
                        </a:solidFill>
                      </a:rPr>
                      <a:t>【MUST】</a:t>
                    </a:r>
                    <a:endParaRPr kumimoji="1" lang="ja-JP" altLang="en-US" sz="1100" b="1">
                      <a:solidFill>
                        <a:srgbClr val="0070C0"/>
                      </a:solidFill>
                    </a:endParaRPr>
                  </a:p>
                </xdr:txBody>
              </xdr:sp>
              <xdr:sp macro="" textlink="">
                <xdr:nvSpPr>
                  <xdr:cNvPr id="179" name="テキスト ボックス 178">
                    <a:extLst>
                      <a:ext uri="{FF2B5EF4-FFF2-40B4-BE49-F238E27FC236}">
                        <a16:creationId xmlns:a16="http://schemas.microsoft.com/office/drawing/2014/main" id="{00000000-0008-0000-0000-0000B3000000}"/>
                      </a:ext>
                    </a:extLst>
                  </xdr:cNvPr>
                  <xdr:cNvSpPr txBox="1"/>
                </xdr:nvSpPr>
                <xdr:spPr>
                  <a:xfrm>
                    <a:off x="2076450" y="3333750"/>
                    <a:ext cx="1353637" cy="314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0070C0"/>
                        </a:solidFill>
                        <a:latin typeface="+mn-lt"/>
                        <a:ea typeface="+mn-ea"/>
                        <a:cs typeface="+mn-cs"/>
                      </a:rPr>
                      <a:t>スタートです</a:t>
                    </a:r>
                    <a:r>
                      <a:rPr kumimoji="1" lang="ja-JP" altLang="en-US" sz="1100" b="1">
                        <a:solidFill>
                          <a:srgbClr val="0070C0"/>
                        </a:solidFill>
                        <a:latin typeface="+mn-lt"/>
                        <a:ea typeface="+mn-ea"/>
                        <a:cs typeface="+mn-cs"/>
                      </a:rPr>
                      <a:t>。</a:t>
                    </a:r>
                    <a:r>
                      <a:rPr kumimoji="1" lang="en-US" altLang="ja-JP" sz="1100" b="1">
                        <a:solidFill>
                          <a:srgbClr val="0070C0"/>
                        </a:solidFill>
                      </a:rPr>
                      <a:t>【MUST】</a:t>
                    </a:r>
                    <a:endParaRPr kumimoji="1" lang="ja-JP" altLang="en-US" sz="1100" b="1">
                      <a:solidFill>
                        <a:srgbClr val="0070C0"/>
                      </a:solidFill>
                    </a:endParaRPr>
                  </a:p>
                </xdr:txBody>
              </xdr:sp>
              <xdr:sp macro="" textlink="">
                <xdr:nvSpPr>
                  <xdr:cNvPr id="180" name="テキスト ボックス 179">
                    <a:extLst>
                      <a:ext uri="{FF2B5EF4-FFF2-40B4-BE49-F238E27FC236}">
                        <a16:creationId xmlns:a16="http://schemas.microsoft.com/office/drawing/2014/main" id="{00000000-0008-0000-0000-0000B4000000}"/>
                      </a:ext>
                    </a:extLst>
                  </xdr:cNvPr>
                  <xdr:cNvSpPr txBox="1"/>
                </xdr:nvSpPr>
                <xdr:spPr>
                  <a:xfrm>
                    <a:off x="2438400" y="5334000"/>
                    <a:ext cx="757195"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rgbClr val="0070C0"/>
                        </a:solidFill>
                      </a:rPr>
                      <a:t>NO</a:t>
                    </a:r>
                  </a:p>
                  <a:p>
                    <a:r>
                      <a:rPr kumimoji="1" lang="en-US" altLang="ja-JP" sz="1100">
                        <a:solidFill>
                          <a:srgbClr val="0070C0"/>
                        </a:solidFill>
                      </a:rPr>
                      <a:t>(3)</a:t>
                    </a:r>
                    <a:r>
                      <a:rPr kumimoji="1" lang="ja-JP" altLang="en-US" sz="1100">
                        <a:solidFill>
                          <a:srgbClr val="0070C0"/>
                        </a:solidFill>
                      </a:rPr>
                      <a:t>をｸﾘｯｸ</a:t>
                    </a:r>
                  </a:p>
                </xdr:txBody>
              </xdr:sp>
              <xdr:grpSp>
                <xdr:nvGrpSpPr>
                  <xdr:cNvPr id="181" name="グループ化 95">
                    <a:extLst>
                      <a:ext uri="{FF2B5EF4-FFF2-40B4-BE49-F238E27FC236}">
                        <a16:creationId xmlns:a16="http://schemas.microsoft.com/office/drawing/2014/main" id="{00000000-0008-0000-0000-0000B5000000}"/>
                      </a:ext>
                    </a:extLst>
                  </xdr:cNvPr>
                  <xdr:cNvGrpSpPr/>
                </xdr:nvGrpSpPr>
                <xdr:grpSpPr>
                  <a:xfrm>
                    <a:off x="2294263" y="10106025"/>
                    <a:ext cx="1039097" cy="390526"/>
                    <a:chOff x="1009650" y="5638800"/>
                    <a:chExt cx="933450" cy="342900"/>
                  </a:xfrm>
                </xdr:grpSpPr>
                <xdr:sp macro="" textlink="">
                  <xdr:nvSpPr>
                    <xdr:cNvPr id="191" name="フローチャート : 代替処理 190">
                      <a:extLst>
                        <a:ext uri="{FF2B5EF4-FFF2-40B4-BE49-F238E27FC236}">
                          <a16:creationId xmlns:a16="http://schemas.microsoft.com/office/drawing/2014/main" id="{00000000-0008-0000-0000-0000BF000000}"/>
                        </a:ext>
                      </a:extLst>
                    </xdr:cNvPr>
                    <xdr:cNvSpPr/>
                  </xdr:nvSpPr>
                  <xdr:spPr>
                    <a:xfrm>
                      <a:off x="1009650" y="5638800"/>
                      <a:ext cx="933450" cy="342900"/>
                    </a:xfrm>
                    <a:prstGeom prst="flowChartAlternateProcess">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92" name="テキスト ボックス 191">
                      <a:extLst>
                        <a:ext uri="{FF2B5EF4-FFF2-40B4-BE49-F238E27FC236}">
                          <a16:creationId xmlns:a16="http://schemas.microsoft.com/office/drawing/2014/main" id="{00000000-0008-0000-0000-0000C0000000}"/>
                        </a:ext>
                      </a:extLst>
                    </xdr:cNvPr>
                    <xdr:cNvSpPr txBox="1"/>
                  </xdr:nvSpPr>
                  <xdr:spPr>
                    <a:xfrm>
                      <a:off x="1063552" y="5667374"/>
                      <a:ext cx="779106" cy="314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ｽｺｱ記入開始</a:t>
                      </a:r>
                      <a:endParaRPr kumimoji="1" lang="en-US" altLang="ja-JP" sz="1100"/>
                    </a:p>
                  </xdr:txBody>
                </xdr:sp>
              </xdr:grpSp>
              <xdr:cxnSp macro="">
                <xdr:nvCxnSpPr>
                  <xdr:cNvPr id="182" name="カギ線コネクタ 181">
                    <a:extLst>
                      <a:ext uri="{FF2B5EF4-FFF2-40B4-BE49-F238E27FC236}">
                        <a16:creationId xmlns:a16="http://schemas.microsoft.com/office/drawing/2014/main" id="{00000000-0008-0000-0000-0000B6000000}"/>
                      </a:ext>
                    </a:extLst>
                  </xdr:cNvPr>
                  <xdr:cNvCxnSpPr/>
                </xdr:nvCxnSpPr>
                <xdr:spPr>
                  <a:xfrm rot="10800000" flipV="1">
                    <a:off x="2524125" y="7515224"/>
                    <a:ext cx="1962150" cy="485775"/>
                  </a:xfrm>
                  <a:prstGeom prst="bentConnector3">
                    <a:avLst>
                      <a:gd name="adj1" fmla="val 0"/>
                    </a:avLst>
                  </a:prstGeom>
                  <a:ln w="19050">
                    <a:prstDash val="sysDash"/>
                    <a:tailEnd type="arrow"/>
                  </a:ln>
                </xdr:spPr>
                <xdr:style>
                  <a:lnRef idx="1">
                    <a:schemeClr val="accent1"/>
                  </a:lnRef>
                  <a:fillRef idx="0">
                    <a:schemeClr val="accent1"/>
                  </a:fillRef>
                  <a:effectRef idx="0">
                    <a:schemeClr val="accent1"/>
                  </a:effectRef>
                  <a:fontRef idx="minor">
                    <a:schemeClr val="tx1"/>
                  </a:fontRef>
                </xdr:style>
              </xdr:cxnSp>
              <xdr:grpSp>
                <xdr:nvGrpSpPr>
                  <xdr:cNvPr id="183" name="グループ化 154">
                    <a:extLst>
                      <a:ext uri="{FF2B5EF4-FFF2-40B4-BE49-F238E27FC236}">
                        <a16:creationId xmlns:a16="http://schemas.microsoft.com/office/drawing/2014/main" id="{00000000-0008-0000-0000-0000B7000000}"/>
                      </a:ext>
                    </a:extLst>
                  </xdr:cNvPr>
                  <xdr:cNvGrpSpPr/>
                </xdr:nvGrpSpPr>
                <xdr:grpSpPr>
                  <a:xfrm>
                    <a:off x="1762125" y="4448174"/>
                    <a:ext cx="381000" cy="676275"/>
                    <a:chOff x="619124" y="6893985"/>
                    <a:chExt cx="333376" cy="2051580"/>
                  </a:xfrm>
                </xdr:grpSpPr>
                <xdr:cxnSp macro="">
                  <xdr:nvCxnSpPr>
                    <xdr:cNvPr id="189" name="直線矢印コネクタ 188">
                      <a:extLst>
                        <a:ext uri="{FF2B5EF4-FFF2-40B4-BE49-F238E27FC236}">
                          <a16:creationId xmlns:a16="http://schemas.microsoft.com/office/drawing/2014/main" id="{00000000-0008-0000-0000-0000BD000000}"/>
                        </a:ext>
                      </a:extLst>
                    </xdr:cNvPr>
                    <xdr:cNvCxnSpPr/>
                  </xdr:nvCxnSpPr>
                  <xdr:spPr>
                    <a:xfrm flipV="1">
                      <a:off x="619124" y="6898766"/>
                      <a:ext cx="333376" cy="4783"/>
                    </a:xfrm>
                    <a:prstGeom prst="straightConnector1">
                      <a:avLst/>
                    </a:prstGeom>
                    <a:ln w="19050">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0" name="図形 83">
                      <a:extLst>
                        <a:ext uri="{FF2B5EF4-FFF2-40B4-BE49-F238E27FC236}">
                          <a16:creationId xmlns:a16="http://schemas.microsoft.com/office/drawing/2014/main" id="{00000000-0008-0000-0000-0000BE000000}"/>
                        </a:ext>
                      </a:extLst>
                    </xdr:cNvPr>
                    <xdr:cNvCxnSpPr/>
                  </xdr:nvCxnSpPr>
                  <xdr:spPr>
                    <a:xfrm rot="16200000" flipV="1">
                      <a:off x="-311415" y="7824524"/>
                      <a:ext cx="2051580" cy="190502"/>
                    </a:xfrm>
                    <a:prstGeom prst="bentConnector3">
                      <a:avLst>
                        <a:gd name="adj1" fmla="val 583"/>
                      </a:avLst>
                    </a:prstGeom>
                    <a:ln w="19050">
                      <a:solidFill>
                        <a:schemeClr val="accent1">
                          <a:lumMod val="75000"/>
                        </a:schemeClr>
                      </a:solidFill>
                      <a:prstDash val="sysDash"/>
                    </a:ln>
                  </xdr:spPr>
                  <xdr:style>
                    <a:lnRef idx="1">
                      <a:schemeClr val="accent1"/>
                    </a:lnRef>
                    <a:fillRef idx="0">
                      <a:schemeClr val="accent1"/>
                    </a:fillRef>
                    <a:effectRef idx="0">
                      <a:schemeClr val="accent1"/>
                    </a:effectRef>
                    <a:fontRef idx="minor">
                      <a:schemeClr val="tx1"/>
                    </a:fontRef>
                  </xdr:style>
                </xdr:cxnSp>
              </xdr:grpSp>
              <xdr:sp macro="" textlink="">
                <xdr:nvSpPr>
                  <xdr:cNvPr id="184" name="上下矢印 183">
                    <a:extLst>
                      <a:ext uri="{FF2B5EF4-FFF2-40B4-BE49-F238E27FC236}">
                        <a16:creationId xmlns:a16="http://schemas.microsoft.com/office/drawing/2014/main" id="{00000000-0008-0000-0000-0000B8000000}"/>
                      </a:ext>
                    </a:extLst>
                  </xdr:cNvPr>
                  <xdr:cNvSpPr/>
                </xdr:nvSpPr>
                <xdr:spPr>
                  <a:xfrm>
                    <a:off x="404831" y="8943975"/>
                    <a:ext cx="411955" cy="1053305"/>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表</a:t>
                    </a:r>
                    <a:r>
                      <a:rPr kumimoji="1" lang="ja-JP" altLang="en-US" sz="1000"/>
                      <a:t>出力</a:t>
                    </a:r>
                  </a:p>
                </xdr:txBody>
              </xdr:sp>
              <xdr:sp macro="" textlink="">
                <xdr:nvSpPr>
                  <xdr:cNvPr id="185" name="上下矢印 184">
                    <a:extLst>
                      <a:ext uri="{FF2B5EF4-FFF2-40B4-BE49-F238E27FC236}">
                        <a16:creationId xmlns:a16="http://schemas.microsoft.com/office/drawing/2014/main" id="{00000000-0008-0000-0000-0000B9000000}"/>
                      </a:ext>
                    </a:extLst>
                  </xdr:cNvPr>
                  <xdr:cNvSpPr/>
                </xdr:nvSpPr>
                <xdr:spPr>
                  <a:xfrm>
                    <a:off x="413034" y="6067426"/>
                    <a:ext cx="411954" cy="914401"/>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t>保存</a:t>
                    </a:r>
                  </a:p>
                </xdr:txBody>
              </xdr:sp>
              <xdr:sp macro="" textlink="">
                <xdr:nvSpPr>
                  <xdr:cNvPr id="186" name="テキスト ボックス 185">
                    <a:extLst>
                      <a:ext uri="{FF2B5EF4-FFF2-40B4-BE49-F238E27FC236}">
                        <a16:creationId xmlns:a16="http://schemas.microsoft.com/office/drawing/2014/main" id="{00000000-0008-0000-0000-0000BA000000}"/>
                      </a:ext>
                    </a:extLst>
                  </xdr:cNvPr>
                  <xdr:cNvSpPr txBox="1"/>
                </xdr:nvSpPr>
                <xdr:spPr>
                  <a:xfrm>
                    <a:off x="744697" y="6334256"/>
                    <a:ext cx="445401" cy="391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配布）</a:t>
                    </a:r>
                  </a:p>
                </xdr:txBody>
              </xdr:sp>
              <xdr:sp macro="" textlink="">
                <xdr:nvSpPr>
                  <xdr:cNvPr id="187" name="テキスト ボックス 186">
                    <a:extLst>
                      <a:ext uri="{FF2B5EF4-FFF2-40B4-BE49-F238E27FC236}">
                        <a16:creationId xmlns:a16="http://schemas.microsoft.com/office/drawing/2014/main" id="{00000000-0008-0000-0000-0000BB000000}"/>
                      </a:ext>
                    </a:extLst>
                  </xdr:cNvPr>
                  <xdr:cNvSpPr txBox="1"/>
                </xdr:nvSpPr>
                <xdr:spPr>
                  <a:xfrm>
                    <a:off x="691971" y="9223014"/>
                    <a:ext cx="628106" cy="556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（配布後</a:t>
                    </a:r>
                    <a:endParaRPr kumimoji="1" lang="en-US" altLang="ja-JP" sz="1100"/>
                  </a:p>
                  <a:p>
                    <a:r>
                      <a:rPr kumimoji="1" lang="ja-JP" altLang="en-US" sz="1100"/>
                      <a:t>の修正）</a:t>
                    </a:r>
                  </a:p>
                </xdr:txBody>
              </xdr:sp>
              <xdr:cxnSp macro="">
                <xdr:nvCxnSpPr>
                  <xdr:cNvPr id="188" name="直線矢印コネクタ 187">
                    <a:extLst>
                      <a:ext uri="{FF2B5EF4-FFF2-40B4-BE49-F238E27FC236}">
                        <a16:creationId xmlns:a16="http://schemas.microsoft.com/office/drawing/2014/main" id="{00000000-0008-0000-0000-0000BC000000}"/>
                      </a:ext>
                    </a:extLst>
                  </xdr:cNvPr>
                  <xdr:cNvCxnSpPr/>
                </xdr:nvCxnSpPr>
                <xdr:spPr>
                  <a:xfrm>
                    <a:off x="2893582" y="7226076"/>
                    <a:ext cx="942291" cy="0"/>
                  </a:xfrm>
                  <a:prstGeom prst="straightConnector1">
                    <a:avLst/>
                  </a:prstGeom>
                  <a:ln w="19050">
                    <a:prstDash val="sysDash"/>
                    <a:tailEnd type="arrow"/>
                  </a:ln>
                  <a:effectLst/>
                </xdr:spPr>
                <xdr:style>
                  <a:lnRef idx="1">
                    <a:schemeClr val="accent1"/>
                  </a:lnRef>
                  <a:fillRef idx="0">
                    <a:schemeClr val="accent1"/>
                  </a:fillRef>
                  <a:effectRef idx="0">
                    <a:schemeClr val="accent1"/>
                  </a:effectRef>
                  <a:fontRef idx="minor">
                    <a:schemeClr val="tx1"/>
                  </a:fontRef>
                </xdr:style>
              </xdr:cxnSp>
            </xdr:grpSp>
          </xdr:grpSp>
        </xdr:grpSp>
      </xdr:grpSp>
    </xdr:grpSp>
    <xdr:clientData/>
  </xdr:twoCellAnchor>
  <xdr:oneCellAnchor>
    <xdr:from>
      <xdr:col>34</xdr:col>
      <xdr:colOff>200025</xdr:colOff>
      <xdr:row>43</xdr:row>
      <xdr:rowOff>228600</xdr:rowOff>
    </xdr:from>
    <xdr:ext cx="184731" cy="264560"/>
    <xdr:sp macro="" textlink="">
      <xdr:nvSpPr>
        <xdr:cNvPr id="212" name="テキスト ボックス 211">
          <a:extLst>
            <a:ext uri="{FF2B5EF4-FFF2-40B4-BE49-F238E27FC236}">
              <a16:creationId xmlns:a16="http://schemas.microsoft.com/office/drawing/2014/main" id="{00000000-0008-0000-0000-0000D4000000}"/>
            </a:ext>
          </a:extLst>
        </xdr:cNvPr>
        <xdr:cNvSpPr txBox="1"/>
      </xdr:nvSpPr>
      <xdr:spPr>
        <a:xfrm>
          <a:off x="11811000" y="1039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twoCellAnchor>
    <xdr:from>
      <xdr:col>28</xdr:col>
      <xdr:colOff>674875</xdr:colOff>
      <xdr:row>3</xdr:row>
      <xdr:rowOff>47625</xdr:rowOff>
    </xdr:from>
    <xdr:to>
      <xdr:col>41</xdr:col>
      <xdr:colOff>1123950</xdr:colOff>
      <xdr:row>26</xdr:row>
      <xdr:rowOff>209550</xdr:rowOff>
    </xdr:to>
    <xdr:grpSp>
      <xdr:nvGrpSpPr>
        <xdr:cNvPr id="237" name="グループ化 236">
          <a:extLst>
            <a:ext uri="{FF2B5EF4-FFF2-40B4-BE49-F238E27FC236}">
              <a16:creationId xmlns:a16="http://schemas.microsoft.com/office/drawing/2014/main" id="{00000000-0008-0000-0000-0000ED000000}"/>
            </a:ext>
          </a:extLst>
        </xdr:cNvPr>
        <xdr:cNvGrpSpPr/>
      </xdr:nvGrpSpPr>
      <xdr:grpSpPr>
        <a:xfrm>
          <a:off x="12752575" y="1285875"/>
          <a:ext cx="7440425" cy="5105400"/>
          <a:chOff x="9323575" y="657225"/>
          <a:chExt cx="7440425" cy="5019675"/>
        </a:xfrm>
      </xdr:grpSpPr>
      <xdr:grpSp>
        <xdr:nvGrpSpPr>
          <xdr:cNvPr id="235" name="グループ化 234">
            <a:extLst>
              <a:ext uri="{FF2B5EF4-FFF2-40B4-BE49-F238E27FC236}">
                <a16:creationId xmlns:a16="http://schemas.microsoft.com/office/drawing/2014/main" id="{00000000-0008-0000-0000-0000EB000000}"/>
              </a:ext>
            </a:extLst>
          </xdr:cNvPr>
          <xdr:cNvGrpSpPr/>
        </xdr:nvGrpSpPr>
        <xdr:grpSpPr>
          <a:xfrm>
            <a:off x="9323575" y="998930"/>
            <a:ext cx="7440425" cy="4677970"/>
            <a:chOff x="9323575" y="998930"/>
            <a:chExt cx="7440425" cy="4677970"/>
          </a:xfrm>
        </xdr:grpSpPr>
        <xdr:grpSp>
          <xdr:nvGrpSpPr>
            <xdr:cNvPr id="229" name="グループ化 228">
              <a:extLst>
                <a:ext uri="{FF2B5EF4-FFF2-40B4-BE49-F238E27FC236}">
                  <a16:creationId xmlns:a16="http://schemas.microsoft.com/office/drawing/2014/main" id="{00000000-0008-0000-0000-0000E5000000}"/>
                </a:ext>
              </a:extLst>
            </xdr:cNvPr>
            <xdr:cNvGrpSpPr/>
          </xdr:nvGrpSpPr>
          <xdr:grpSpPr>
            <a:xfrm>
              <a:off x="9323575" y="998930"/>
              <a:ext cx="7440425" cy="4677970"/>
              <a:chOff x="9780775" y="5189930"/>
              <a:chExt cx="7440425" cy="4677970"/>
            </a:xfrm>
          </xdr:grpSpPr>
          <xdr:grpSp>
            <xdr:nvGrpSpPr>
              <xdr:cNvPr id="224" name="グループ化 223">
                <a:extLst>
                  <a:ext uri="{FF2B5EF4-FFF2-40B4-BE49-F238E27FC236}">
                    <a16:creationId xmlns:a16="http://schemas.microsoft.com/office/drawing/2014/main" id="{00000000-0008-0000-0000-0000E0000000}"/>
                  </a:ext>
                </a:extLst>
              </xdr:cNvPr>
              <xdr:cNvGrpSpPr/>
            </xdr:nvGrpSpPr>
            <xdr:grpSpPr>
              <a:xfrm>
                <a:off x="9780775" y="5189930"/>
                <a:ext cx="7440425" cy="4677970"/>
                <a:chOff x="9780775" y="5189930"/>
                <a:chExt cx="7440425" cy="4677970"/>
              </a:xfrm>
            </xdr:grpSpPr>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1912391" y="7189099"/>
                  <a:ext cx="432010" cy="297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0070C0"/>
                      </a:solidFill>
                      <a:latin typeface="+mn-lt"/>
                      <a:ea typeface="+mn-ea"/>
                      <a:cs typeface="+mn-cs"/>
                    </a:rPr>
                    <a:t>(3)</a:t>
                  </a:r>
                  <a:endParaRPr lang="ja-JP" altLang="ja-JP">
                    <a:solidFill>
                      <a:srgbClr val="0070C0"/>
                    </a:solidFill>
                  </a:endParaRPr>
                </a:p>
                <a:p>
                  <a:endParaRPr kumimoji="1" lang="ja-JP" altLang="en-US" sz="1100">
                    <a:solidFill>
                      <a:srgbClr val="0070C0"/>
                    </a:solidFill>
                  </a:endParaRPr>
                </a:p>
              </xdr:txBody>
            </xdr: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3164071" y="5196160"/>
                  <a:ext cx="4057129" cy="1185590"/>
                </a:xfrm>
                <a:prstGeom prst="rect">
                  <a:avLst/>
                </a:prstGeom>
                <a:ln w="3175">
                  <a:solidFill>
                    <a:schemeClr val="tx1"/>
                  </a:solidFill>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・「組合せ表」の（黄色）の部分の記入をして下さい</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（日時：月</a:t>
                  </a:r>
                  <a:r>
                    <a:rPr lang="en-US" altLang="ja-JP" sz="10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日、ｽﾀｰﾄ時間：</a:t>
                  </a:r>
                  <a:r>
                    <a:rPr lang="en-US" altLang="ja-JP" sz="1000" b="0" i="0" u="none" strike="noStrike">
                      <a:solidFill>
                        <a:schemeClr val="dk1"/>
                      </a:solidFill>
                      <a:latin typeface="+mn-lt"/>
                      <a:ea typeface="+mn-ea"/>
                      <a:cs typeface="+mn-cs"/>
                    </a:rPr>
                    <a:t>hh</a:t>
                  </a:r>
                  <a:r>
                    <a:rPr lang="ja-JP" altLang="en-US" sz="1000" b="0" i="0" u="none" strike="noStrike">
                      <a:solidFill>
                        <a:schemeClr val="dk1"/>
                      </a:solidFill>
                      <a:latin typeface="+mn-lt"/>
                      <a:ea typeface="+mn-ea"/>
                      <a:cs typeface="+mn-cs"/>
                    </a:rPr>
                    <a:t>：</a:t>
                  </a:r>
                  <a:r>
                    <a:rPr lang="en-US" altLang="ja-JP" sz="1000" b="0" i="0" u="none" strike="noStrike">
                      <a:solidFill>
                        <a:schemeClr val="dk1"/>
                      </a:solidFill>
                      <a:latin typeface="+mn-lt"/>
                      <a:ea typeface="+mn-ea"/>
                      <a:cs typeface="+mn-cs"/>
                    </a:rPr>
                    <a:t>mm</a:t>
                  </a:r>
                  <a:r>
                    <a:rPr lang="ja-JP" altLang="en-US" sz="1000" b="0" i="0" u="none" strike="noStrike">
                      <a:solidFill>
                        <a:schemeClr val="dk1"/>
                      </a:solidFill>
                      <a:latin typeface="+mn-lt"/>
                      <a:ea typeface="+mn-ea"/>
                      <a:cs typeface="+mn-cs"/>
                    </a:rPr>
                    <a:t>、その他は半角数字</a:t>
                  </a:r>
                  <a:r>
                    <a:rPr lang="en-US" altLang="ja-JP" sz="10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漢字入力）</a:t>
                  </a:r>
                  <a:r>
                    <a:rPr lang="ja-JP" altLang="en-US" sz="1000"/>
                    <a:t> </a:t>
                  </a:r>
                  <a:endParaRPr lang="en-US" altLang="ja-JP" sz="1000"/>
                </a:p>
                <a:p>
                  <a:r>
                    <a:rPr lang="ja-JP" altLang="en-US" sz="1000" b="0" i="0" u="none" strike="noStrike">
                      <a:solidFill>
                        <a:schemeClr val="dk1"/>
                      </a:solidFill>
                      <a:latin typeface="+mn-lt"/>
                      <a:ea typeface="+mn-ea"/>
                      <a:cs typeface="+mn-cs"/>
                    </a:rPr>
                    <a:t>・名前はプルダウンで選択、表示させてください</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　　　プルダウン：各欄右側の（</a:t>
                  </a:r>
                  <a:r>
                    <a:rPr lang="ja-JP" altLang="en-US" sz="800" b="0" i="0" u="none" strike="noStrike">
                      <a:solidFill>
                        <a:schemeClr val="dk1"/>
                      </a:solidFill>
                      <a:latin typeface="+mn-lt"/>
                      <a:ea typeface="+mn-ea"/>
                      <a:cs typeface="+mn-cs"/>
                    </a:rPr>
                    <a:t>▼</a:t>
                  </a:r>
                  <a:r>
                    <a:rPr lang="ja-JP" altLang="en-US" sz="1000" b="0" i="0" u="none" strike="noStrike">
                      <a:solidFill>
                        <a:schemeClr val="dk1"/>
                      </a:solidFill>
                      <a:latin typeface="+mn-lt"/>
                      <a:ea typeface="+mn-ea"/>
                      <a:cs typeface="+mn-cs"/>
                    </a:rPr>
                    <a:t>）をクリックしてください</a:t>
                  </a:r>
                  <a:r>
                    <a:rPr lang="ja-JP" altLang="en-US" sz="1000"/>
                    <a:t> </a:t>
                  </a:r>
                  <a:r>
                    <a:rPr lang="ja-JP" altLang="en-US" sz="1000" b="0" i="0" u="none" strike="noStrike">
                      <a:solidFill>
                        <a:schemeClr val="dk1"/>
                      </a:solidFill>
                      <a:latin typeface="+mn-lt"/>
                      <a:ea typeface="+mn-ea"/>
                      <a:cs typeface="+mn-cs"/>
                    </a:rPr>
                    <a:t>全員が</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　　　五十音順にリストされますので必要な名前をクリックして下さい</a:t>
                  </a:r>
                  <a:r>
                    <a:rPr lang="ja-JP" altLang="en-US" sz="1000"/>
                    <a:t> </a:t>
                  </a:r>
                  <a:endParaRPr lang="en-US" altLang="ja-JP" sz="1000"/>
                </a:p>
                <a:p>
                  <a:r>
                    <a:rPr lang="ja-JP" altLang="en-US" sz="1000" b="0" i="0" u="none" strike="noStrike">
                      <a:solidFill>
                        <a:schemeClr val="dk1"/>
                      </a:solidFill>
                      <a:latin typeface="+mn-lt"/>
                      <a:ea typeface="+mn-ea"/>
                      <a:cs typeface="+mn-cs"/>
                    </a:rPr>
                    <a:t>･空欄はﾘｽﾄの最下段にあります（　－－）で表示。</a:t>
                  </a:r>
                  <a:r>
                    <a:rPr lang="ja-JP" altLang="en-US" sz="1000"/>
                    <a:t> </a:t>
                  </a:r>
                  <a:endParaRPr kumimoji="1" lang="ja-JP" altLang="en-US" sz="1000"/>
                </a:p>
              </xdr:txBody>
            </xdr:sp>
            <xdr:sp macro="" textlink="">
              <xdr:nvSpPr>
                <xdr:cNvPr id="93" name="上下矢印 92">
                  <a:extLst>
                    <a:ext uri="{FF2B5EF4-FFF2-40B4-BE49-F238E27FC236}">
                      <a16:creationId xmlns:a16="http://schemas.microsoft.com/office/drawing/2014/main" id="{00000000-0008-0000-0000-00005D000000}"/>
                    </a:ext>
                  </a:extLst>
                </xdr:cNvPr>
                <xdr:cNvSpPr/>
              </xdr:nvSpPr>
              <xdr:spPr>
                <a:xfrm>
                  <a:off x="9780775" y="5248275"/>
                  <a:ext cx="536534" cy="2247900"/>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組合せ入力　修正</a:t>
                  </a:r>
                </a:p>
              </xdr:txBody>
            </xdr:sp>
            <xdr:sp macro="" textlink="">
              <xdr:nvSpPr>
                <xdr:cNvPr id="94" name="上下矢印 93">
                  <a:extLst>
                    <a:ext uri="{FF2B5EF4-FFF2-40B4-BE49-F238E27FC236}">
                      <a16:creationId xmlns:a16="http://schemas.microsoft.com/office/drawing/2014/main" id="{00000000-0008-0000-0000-00005E000000}"/>
                    </a:ext>
                  </a:extLst>
                </xdr:cNvPr>
                <xdr:cNvSpPr/>
              </xdr:nvSpPr>
              <xdr:spPr>
                <a:xfrm>
                  <a:off x="9790300" y="8664686"/>
                  <a:ext cx="536534" cy="1203214"/>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成績記入</a:t>
                  </a:r>
                </a:p>
              </xdr:txBody>
            </xdr:sp>
            <xdr:cxnSp macro="">
              <xdr:nvCxnSpPr>
                <xdr:cNvPr id="101" name="直線矢印コネクタ 100">
                  <a:extLst>
                    <a:ext uri="{FF2B5EF4-FFF2-40B4-BE49-F238E27FC236}">
                      <a16:creationId xmlns:a16="http://schemas.microsoft.com/office/drawing/2014/main" id="{00000000-0008-0000-0000-000065000000}"/>
                    </a:ext>
                  </a:extLst>
                </xdr:cNvPr>
                <xdr:cNvCxnSpPr/>
              </xdr:nvCxnSpPr>
              <xdr:spPr>
                <a:xfrm>
                  <a:off x="11911921" y="6000750"/>
                  <a:ext cx="0" cy="64770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4100967" y="6411673"/>
                  <a:ext cx="2482058" cy="1275002"/>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b="0" i="0" u="none" strike="noStrike">
                      <a:solidFill>
                        <a:schemeClr val="dk1"/>
                      </a:solidFill>
                      <a:latin typeface="+mn-lt"/>
                      <a:ea typeface="+mn-ea"/>
                      <a:cs typeface="+mn-cs"/>
                    </a:rPr>
                    <a:t>各組内の並べ方を整備します</a:t>
                  </a:r>
                  <a:endParaRPr lang="en-US" altLang="ja-JP" sz="1000" b="0" i="0" u="none" strike="noStrike">
                    <a:solidFill>
                      <a:schemeClr val="dk1"/>
                    </a:solidFill>
                    <a:latin typeface="+mn-lt"/>
                    <a:ea typeface="+mn-ea"/>
                    <a:cs typeface="+mn-cs"/>
                  </a:endParaRPr>
                </a:p>
                <a:p>
                  <a:r>
                    <a:rPr lang="ja-JP" altLang="en-US" sz="1000"/>
                    <a:t> 　</a:t>
                  </a:r>
                  <a:r>
                    <a:rPr lang="ja-JP" altLang="en-US" sz="1000" b="0" i="0" u="none" strike="noStrike">
                      <a:solidFill>
                        <a:schemeClr val="dk1"/>
                      </a:solidFill>
                      <a:latin typeface="+mn-lt"/>
                      <a:ea typeface="+mn-ea"/>
                      <a:cs typeface="+mn-cs"/>
                    </a:rPr>
                    <a:t>･左から年齢順に</a:t>
                  </a:r>
                  <a:r>
                    <a:rPr lang="ja-JP" altLang="en-US" sz="1000"/>
                    <a:t> </a:t>
                  </a:r>
                  <a:endParaRPr lang="en-US" altLang="ja-JP" sz="1000"/>
                </a:p>
                <a:p>
                  <a:r>
                    <a:rPr lang="ja-JP" altLang="en-US" sz="1000" b="0" i="0" u="none" strike="noStrike">
                      <a:solidFill>
                        <a:schemeClr val="dk1"/>
                      </a:solidFill>
                      <a:latin typeface="+mn-lt"/>
                      <a:ea typeface="+mn-ea"/>
                      <a:cs typeface="+mn-cs"/>
                    </a:rPr>
                    <a:t>　･ｷｬﾝｾﾙ、空欄を右端に</a:t>
                  </a:r>
                  <a:r>
                    <a:rPr lang="ja-JP" altLang="en-US" sz="1000"/>
                    <a:t> </a:t>
                  </a:r>
                  <a:endParaRPr lang="en-US" altLang="ja-JP" sz="1000"/>
                </a:p>
                <a:p>
                  <a:r>
                    <a:rPr lang="ja-JP" altLang="en-US" sz="1000" b="0" i="0" u="none" strike="noStrike">
                      <a:solidFill>
                        <a:schemeClr val="dk1"/>
                      </a:solidFill>
                      <a:latin typeface="+mn-lt"/>
                      <a:ea typeface="+mn-ea"/>
                      <a:cs typeface="+mn-cs"/>
                    </a:rPr>
                    <a:t>　･幹事を右端に</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　・整備後、変更する場合は（１）へ</a:t>
                  </a:r>
                  <a:endParaRPr lang="en-US" altLang="ja-JP" sz="1000" b="0" i="0" u="none" strike="noStrike">
                    <a:solidFill>
                      <a:schemeClr val="dk1"/>
                    </a:solidFill>
                    <a:latin typeface="+mn-lt"/>
                    <a:ea typeface="+mn-ea"/>
                    <a:cs typeface="+mn-cs"/>
                  </a:endParaRPr>
                </a:p>
                <a:p>
                  <a:r>
                    <a:rPr lang="ja-JP" altLang="en-US" sz="1000" b="0" i="0" u="none" strike="noStrike">
                      <a:solidFill>
                        <a:schemeClr val="dk1"/>
                      </a:solidFill>
                      <a:latin typeface="+mn-lt"/>
                      <a:ea typeface="+mn-ea"/>
                      <a:cs typeface="+mn-cs"/>
                    </a:rPr>
                    <a:t>　　戻ってから行って下さい</a:t>
                  </a:r>
                  <a:r>
                    <a:rPr lang="ja-JP" altLang="en-US" sz="1000"/>
                    <a:t>  </a:t>
                  </a:r>
                  <a:endParaRPr lang="en-US" altLang="ja-JP" sz="1000"/>
                </a:p>
                <a:p>
                  <a:r>
                    <a:rPr kumimoji="1" lang="ja-JP" altLang="en-US" sz="1000"/>
                    <a:t>　・良ければ（３）へ進んで下さい</a:t>
                  </a:r>
                </a:p>
              </xdr:txBody>
            </xdr:sp>
            <xdr:sp macro="" textlink="">
              <xdr:nvSpPr>
                <xdr:cNvPr id="48" name="角丸四角形 47">
                  <a:extLst>
                    <a:ext uri="{FF2B5EF4-FFF2-40B4-BE49-F238E27FC236}">
                      <a16:creationId xmlns:a16="http://schemas.microsoft.com/office/drawing/2014/main" id="{00000000-0008-0000-0000-000030000000}"/>
                    </a:ext>
                  </a:extLst>
                </xdr:cNvPr>
                <xdr:cNvSpPr/>
              </xdr:nvSpPr>
              <xdr:spPr>
                <a:xfrm>
                  <a:off x="10968202" y="7639050"/>
                  <a:ext cx="2776373" cy="514349"/>
                </a:xfrm>
                <a:prstGeom prst="roundRect">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1029793" y="7702542"/>
                  <a:ext cx="2705256" cy="46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000"/>
                    <a:t>メール添付組合せ表、クラブ提出用組合せ表</a:t>
                  </a:r>
                  <a:endParaRPr kumimoji="1" lang="en-US" altLang="ja-JP" sz="1000"/>
                </a:p>
                <a:p>
                  <a:r>
                    <a:rPr kumimoji="1" lang="ja-JP" altLang="en-US" sz="1000"/>
                    <a:t>スコア記入依頼用紙が生成されます</a:t>
                  </a: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1077468" y="9052948"/>
                  <a:ext cx="3029057" cy="662552"/>
                </a:xfrm>
                <a:prstGeom prst="rect">
                  <a:avLst/>
                </a:prstGeom>
                <a:solidFill>
                  <a:schemeClr val="accent3">
                    <a:lumMod val="20000"/>
                    <a:lumOff val="80000"/>
                  </a:schemeClr>
                </a:solidFill>
                <a:ln w="28575">
                  <a:solidFill>
                    <a:srgbClr val="0070C0"/>
                  </a:solidFill>
                </a:ln>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r>
                    <a:rPr kumimoji="1" lang="ja-JP" altLang="en-US" sz="1100"/>
                    <a:t>組合せ表のスコア記入欄、ｽｺｱ記入依頼用紙、</a:t>
                  </a:r>
                  <a:endParaRPr kumimoji="1" lang="en-US" altLang="ja-JP" sz="1100"/>
                </a:p>
                <a:p>
                  <a:r>
                    <a:rPr kumimoji="1" lang="ja-JP" altLang="en-US" sz="1100"/>
                    <a:t>又は成績表にスコアを記入して下さい。</a:t>
                  </a:r>
                  <a:endParaRPr kumimoji="1" lang="en-US" altLang="ja-JP" sz="1100"/>
                </a:p>
                <a:p>
                  <a:r>
                    <a:rPr kumimoji="1" lang="ja-JP" altLang="en-US" sz="1100"/>
                    <a:t>（いずれか一つのみを使用して下さい）</a:t>
                  </a:r>
                </a:p>
              </xdr:txBody>
            </xdr:sp>
            <xdr:grpSp>
              <xdr:nvGrpSpPr>
                <xdr:cNvPr id="72" name="グループ化 71">
                  <a:extLst>
                    <a:ext uri="{FF2B5EF4-FFF2-40B4-BE49-F238E27FC236}">
                      <a16:creationId xmlns:a16="http://schemas.microsoft.com/office/drawing/2014/main" id="{00000000-0008-0000-0000-000048000000}"/>
                    </a:ext>
                  </a:extLst>
                </xdr:cNvPr>
                <xdr:cNvGrpSpPr/>
              </xdr:nvGrpSpPr>
              <xdr:grpSpPr>
                <a:xfrm>
                  <a:off x="11271069" y="5543550"/>
                  <a:ext cx="1730556" cy="447675"/>
                  <a:chOff x="914400" y="2886075"/>
                  <a:chExt cx="1145944" cy="885825"/>
                </a:xfrm>
              </xdr:grpSpPr>
              <xdr:sp macro="" textlink="">
                <xdr:nvSpPr>
                  <xdr:cNvPr id="62" name="フローチャート : 代替処理 61">
                    <a:extLst>
                      <a:ext uri="{FF2B5EF4-FFF2-40B4-BE49-F238E27FC236}">
                        <a16:creationId xmlns:a16="http://schemas.microsoft.com/office/drawing/2014/main" id="{00000000-0008-0000-0000-00003E000000}"/>
                      </a:ext>
                    </a:extLst>
                  </xdr:cNvPr>
                  <xdr:cNvSpPr/>
                </xdr:nvSpPr>
                <xdr:spPr>
                  <a:xfrm>
                    <a:off x="914400" y="2886075"/>
                    <a:ext cx="1057275" cy="885825"/>
                  </a:xfrm>
                  <a:prstGeom prst="flowChartAlternateProcess">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000"/>
                  </a:p>
                </xdr:txBody>
              </xdr:sp>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985236" y="3124319"/>
                    <a:ext cx="1075108" cy="534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b="1"/>
                      <a:t> </a:t>
                    </a:r>
                    <a:r>
                      <a:rPr kumimoji="1" lang="en-US" altLang="ja-JP" sz="1000" b="1"/>
                      <a:t>(1)</a:t>
                    </a:r>
                    <a:r>
                      <a:rPr kumimoji="1" lang="ja-JP" altLang="en-US" sz="1000"/>
                      <a:t>名前</a:t>
                    </a:r>
                    <a:r>
                      <a:rPr kumimoji="1" lang="en-US" altLang="ja-JP" sz="1000"/>
                      <a:t>,</a:t>
                    </a:r>
                    <a:r>
                      <a:rPr kumimoji="1" lang="ja-JP" altLang="en-US" sz="1000"/>
                      <a:t>他入力開始</a:t>
                    </a:r>
                    <a:endParaRPr kumimoji="1" lang="en-US" altLang="ja-JP" sz="1000"/>
                  </a:p>
                  <a:p>
                    <a:endParaRPr kumimoji="1" lang="en-US" altLang="ja-JP" sz="1000"/>
                  </a:p>
                </xdr:txBody>
              </xdr:sp>
            </xdr:grpSp>
            <xdr:cxnSp macro="">
              <xdr:nvCxnSpPr>
                <xdr:cNvPr id="83" name="直線矢印コネクタ 82">
                  <a:extLst>
                    <a:ext uri="{FF2B5EF4-FFF2-40B4-BE49-F238E27FC236}">
                      <a16:creationId xmlns:a16="http://schemas.microsoft.com/office/drawing/2014/main" id="{00000000-0008-0000-0000-000053000000}"/>
                    </a:ext>
                  </a:extLst>
                </xdr:cNvPr>
                <xdr:cNvCxnSpPr/>
              </xdr:nvCxnSpPr>
              <xdr:spPr>
                <a:xfrm flipH="1">
                  <a:off x="11911921" y="8153400"/>
                  <a:ext cx="13379" cy="923925"/>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1" name="直線矢印コネクタ 110">
                  <a:extLst>
                    <a:ext uri="{FF2B5EF4-FFF2-40B4-BE49-F238E27FC236}">
                      <a16:creationId xmlns:a16="http://schemas.microsoft.com/office/drawing/2014/main" id="{00000000-0008-0000-0000-00006F000000}"/>
                    </a:ext>
                  </a:extLst>
                </xdr:cNvPr>
                <xdr:cNvCxnSpPr/>
              </xdr:nvCxnSpPr>
              <xdr:spPr>
                <a:xfrm flipV="1">
                  <a:off x="13241225" y="6906142"/>
                  <a:ext cx="846250" cy="1"/>
                </a:xfrm>
                <a:prstGeom prst="straightConnector1">
                  <a:avLst/>
                </a:prstGeom>
                <a:ln w="28575">
                  <a:prstDash val="solid"/>
                  <a:tailEnd type="arrow"/>
                </a:ln>
                <a:effectLst/>
              </xdr:spPr>
              <xdr:style>
                <a:lnRef idx="1">
                  <a:schemeClr val="accent1"/>
                </a:lnRef>
                <a:fillRef idx="0">
                  <a:schemeClr val="accent1"/>
                </a:fillRef>
                <a:effectRef idx="0">
                  <a:schemeClr val="accent1"/>
                </a:effectRef>
                <a:fontRef idx="minor">
                  <a:schemeClr val="tx1"/>
                </a:fontRef>
              </xdr:style>
            </xdr:cxnSp>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13274177" y="8332664"/>
                  <a:ext cx="3746997" cy="5612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t>･直前のｷｬﾝｾﾙ等の変更が組合せ表上で出来ます。</a:t>
                  </a:r>
                  <a:endParaRPr kumimoji="1" lang="en-US" altLang="ja-JP" sz="1000"/>
                </a:p>
                <a:p>
                  <a:r>
                    <a:rPr kumimoji="1" lang="ja-JP" altLang="en-US" sz="1000"/>
                    <a:t>　変更した結果の並び順の整備等はｼｰﾄ②～④へ反映されます</a:t>
                  </a:r>
                  <a:endParaRPr kumimoji="1" lang="en-US" altLang="ja-JP" sz="1000"/>
                </a:p>
                <a:p>
                  <a:r>
                    <a:rPr kumimoji="1" lang="ja-JP" altLang="en-US" sz="1000"/>
                    <a:t>　</a:t>
                  </a:r>
                </a:p>
              </xdr:txBody>
            </xdr:sp>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514915" y="5682508"/>
                  <a:ext cx="558246" cy="3506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(1)</a:t>
                  </a:r>
                </a:p>
              </xdr:txBody>
            </xdr:sp>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524440" y="8404112"/>
                  <a:ext cx="583057" cy="330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(3)</a:t>
                  </a:r>
                </a:p>
              </xdr:txBody>
            </xdr:sp>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514915" y="6472340"/>
                  <a:ext cx="633117" cy="3856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b="0"/>
                    <a:t>(2)</a:t>
                  </a:r>
                </a:p>
                <a:p>
                  <a:endParaRPr kumimoji="1" lang="ja-JP" altLang="en-US" sz="1600" b="0"/>
                </a:p>
              </xdr:txBody>
            </xdr:sp>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12652454" y="8320842"/>
                  <a:ext cx="8539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rgbClr val="0070C0"/>
                      </a:solidFill>
                    </a:rPr>
                    <a:t>【MUST】</a:t>
                  </a:r>
                  <a:endParaRPr kumimoji="1" lang="ja-JP" altLang="en-US" sz="1100" b="1">
                    <a:solidFill>
                      <a:srgbClr val="0070C0"/>
                    </a:solidFill>
                  </a:endParaRPr>
                </a:p>
              </xdr:txBody>
            </xdr:sp>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1519759" y="5189930"/>
                  <a:ext cx="18723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1">
                      <a:solidFill>
                        <a:srgbClr val="0070C0"/>
                      </a:solidFill>
                      <a:latin typeface="+mn-lt"/>
                      <a:ea typeface="+mn-ea"/>
                      <a:cs typeface="+mn-cs"/>
                    </a:rPr>
                    <a:t>(1)</a:t>
                  </a:r>
                  <a:r>
                    <a:rPr kumimoji="1" lang="ja-JP" altLang="ja-JP" sz="1100" b="1">
                      <a:solidFill>
                        <a:srgbClr val="0070C0"/>
                      </a:solidFill>
                      <a:latin typeface="+mn-lt"/>
                      <a:ea typeface="+mn-ea"/>
                      <a:cs typeface="+mn-cs"/>
                    </a:rPr>
                    <a:t>スタートです</a:t>
                  </a:r>
                  <a:r>
                    <a:rPr kumimoji="1" lang="ja-JP" altLang="en-US" sz="1100" b="1">
                      <a:solidFill>
                        <a:srgbClr val="0070C0"/>
                      </a:solidFill>
                      <a:latin typeface="+mn-lt"/>
                      <a:ea typeface="+mn-ea"/>
                      <a:cs typeface="+mn-cs"/>
                    </a:rPr>
                    <a:t>。</a:t>
                  </a:r>
                  <a:r>
                    <a:rPr kumimoji="1" lang="en-US" altLang="ja-JP" sz="1100" b="1">
                      <a:solidFill>
                        <a:srgbClr val="0070C0"/>
                      </a:solidFill>
                    </a:rPr>
                    <a:t>【MUST】</a:t>
                  </a:r>
                  <a:endParaRPr kumimoji="1" lang="ja-JP" altLang="en-US" sz="1100" b="1">
                    <a:solidFill>
                      <a:srgbClr val="0070C0"/>
                    </a:solidFill>
                  </a:endParaRPr>
                </a:p>
              </xdr:txBody>
            </xdr:sp>
            <xdr:grpSp>
              <xdr:nvGrpSpPr>
                <xdr:cNvPr id="96" name="グループ化 95">
                  <a:extLst>
                    <a:ext uri="{FF2B5EF4-FFF2-40B4-BE49-F238E27FC236}">
                      <a16:creationId xmlns:a16="http://schemas.microsoft.com/office/drawing/2014/main" id="{00000000-0008-0000-0000-000060000000}"/>
                    </a:ext>
                  </a:extLst>
                </xdr:cNvPr>
                <xdr:cNvGrpSpPr/>
              </xdr:nvGrpSpPr>
              <xdr:grpSpPr>
                <a:xfrm>
                  <a:off x="11298616" y="8411275"/>
                  <a:ext cx="1353331" cy="370774"/>
                  <a:chOff x="1009650" y="5705614"/>
                  <a:chExt cx="933450" cy="371425"/>
                </a:xfrm>
              </xdr:grpSpPr>
              <xdr:sp macro="" textlink="">
                <xdr:nvSpPr>
                  <xdr:cNvPr id="97" name="フローチャート : 代替処理 96">
                    <a:extLst>
                      <a:ext uri="{FF2B5EF4-FFF2-40B4-BE49-F238E27FC236}">
                        <a16:creationId xmlns:a16="http://schemas.microsoft.com/office/drawing/2014/main" id="{00000000-0008-0000-0000-000061000000}"/>
                      </a:ext>
                    </a:extLst>
                  </xdr:cNvPr>
                  <xdr:cNvSpPr/>
                </xdr:nvSpPr>
                <xdr:spPr>
                  <a:xfrm>
                    <a:off x="1009650" y="5705614"/>
                    <a:ext cx="933450" cy="342901"/>
                  </a:xfrm>
                  <a:prstGeom prst="flowChartAlternateProcess">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063552" y="5762809"/>
                    <a:ext cx="871083" cy="3142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00" b="1"/>
                      <a:t>(3)</a:t>
                    </a:r>
                    <a:r>
                      <a:rPr kumimoji="1" lang="ja-JP" altLang="en-US" sz="1000"/>
                      <a:t>ｽｺｱ記入開始</a:t>
                    </a:r>
                    <a:endParaRPr kumimoji="1" lang="en-US" altLang="ja-JP" sz="1000"/>
                  </a:p>
                </xdr:txBody>
              </xdr:sp>
            </xdr:grpSp>
            <xdr:sp macro="" textlink="">
              <xdr:nvSpPr>
                <xdr:cNvPr id="80" name="上下矢印 79">
                  <a:extLst>
                    <a:ext uri="{FF2B5EF4-FFF2-40B4-BE49-F238E27FC236}">
                      <a16:creationId xmlns:a16="http://schemas.microsoft.com/office/drawing/2014/main" id="{00000000-0008-0000-0000-000050000000}"/>
                    </a:ext>
                  </a:extLst>
                </xdr:cNvPr>
                <xdr:cNvSpPr/>
              </xdr:nvSpPr>
              <xdr:spPr>
                <a:xfrm>
                  <a:off x="9790300" y="7621323"/>
                  <a:ext cx="536534" cy="923232"/>
                </a:xfrm>
                <a:prstGeom prst="upDownArrow">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t>表</a:t>
                  </a:r>
                  <a:r>
                    <a:rPr kumimoji="1" lang="ja-JP" altLang="en-US" sz="1000"/>
                    <a:t>出力</a:t>
                  </a:r>
                </a:p>
              </xdr:txBody>
            </xdr:sp>
            <xdr:sp macro="" textlink="">
              <xdr:nvSpPr>
                <xdr:cNvPr id="211" name="角丸四角形 210">
                  <a:extLst>
                    <a:ext uri="{FF2B5EF4-FFF2-40B4-BE49-F238E27FC236}">
                      <a16:creationId xmlns:a16="http://schemas.microsoft.com/office/drawing/2014/main" id="{00000000-0008-0000-0000-0000D3000000}"/>
                    </a:ext>
                  </a:extLst>
                </xdr:cNvPr>
                <xdr:cNvSpPr/>
              </xdr:nvSpPr>
              <xdr:spPr>
                <a:xfrm>
                  <a:off x="10953751" y="6648450"/>
                  <a:ext cx="2371724" cy="504825"/>
                </a:xfrm>
                <a:prstGeom prst="roundRect">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13" name="テキスト ボックス 212">
                  <a:extLst>
                    <a:ext uri="{FF2B5EF4-FFF2-40B4-BE49-F238E27FC236}">
                      <a16:creationId xmlns:a16="http://schemas.microsoft.com/office/drawing/2014/main" id="{00000000-0008-0000-0000-0000D5000000}"/>
                    </a:ext>
                  </a:extLst>
                </xdr:cNvPr>
                <xdr:cNvSpPr txBox="1"/>
              </xdr:nvSpPr>
              <xdr:spPr>
                <a:xfrm>
                  <a:off x="10982325" y="6715125"/>
                  <a:ext cx="24384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latin typeface="+mn-ea"/>
                      <a:ea typeface="+mn-ea"/>
                    </a:rPr>
                    <a:t>組内の並び順を整える：</a:t>
                  </a:r>
                  <a:r>
                    <a:rPr kumimoji="1" lang="en-US" altLang="ja-JP" sz="1000" b="1">
                      <a:latin typeface="+mn-ea"/>
                      <a:ea typeface="+mn-ea"/>
                    </a:rPr>
                    <a:t>(2)</a:t>
                  </a:r>
                  <a:r>
                    <a:rPr kumimoji="1" lang="ja-JP" altLang="en-US" sz="1000">
                      <a:latin typeface="+mn-ea"/>
                      <a:ea typeface="+mn-ea"/>
                    </a:rPr>
                    <a:t>から</a:t>
                  </a:r>
                  <a:r>
                    <a:rPr kumimoji="1" lang="en-US" altLang="ja-JP" sz="1000" b="1">
                      <a:latin typeface="+mn-ea"/>
                      <a:ea typeface="+mn-ea"/>
                    </a:rPr>
                    <a:t>(3)</a:t>
                  </a:r>
                  <a:r>
                    <a:rPr kumimoji="1" lang="ja-JP" altLang="en-US" sz="1000">
                      <a:latin typeface="+mn-ea"/>
                      <a:ea typeface="+mn-ea"/>
                    </a:rPr>
                    <a:t>へ</a:t>
                  </a:r>
                  <a:endParaRPr kumimoji="1" lang="en-US" altLang="ja-JP" sz="1000">
                    <a:latin typeface="+mn-ea"/>
                    <a:ea typeface="+mn-ea"/>
                  </a:endParaRPr>
                </a:p>
                <a:p>
                  <a:r>
                    <a:rPr kumimoji="1" lang="ja-JP" altLang="en-US" sz="1000">
                      <a:latin typeface="+mn-ea"/>
                      <a:ea typeface="+mn-ea"/>
                    </a:rPr>
                    <a:t>このまま組合せを纏める：</a:t>
                  </a:r>
                  <a:r>
                    <a:rPr kumimoji="1" lang="en-US" altLang="ja-JP" sz="1000" b="1">
                      <a:latin typeface="+mn-ea"/>
                      <a:ea typeface="+mn-ea"/>
                    </a:rPr>
                    <a:t>(3)</a:t>
                  </a:r>
                  <a:r>
                    <a:rPr kumimoji="1" lang="ja-JP" altLang="en-US" sz="1000">
                      <a:latin typeface="+mn-ea"/>
                      <a:ea typeface="+mn-ea"/>
                    </a:rPr>
                    <a:t>へ</a:t>
                  </a:r>
                </a:p>
              </xdr:txBody>
            </xdr:sp>
            <xdr:sp macro="" textlink="">
              <xdr:nvSpPr>
                <xdr:cNvPr id="215" name="テキスト ボックス 214">
                  <a:extLst>
                    <a:ext uri="{FF2B5EF4-FFF2-40B4-BE49-F238E27FC236}">
                      <a16:creationId xmlns:a16="http://schemas.microsoft.com/office/drawing/2014/main" id="{00000000-0008-0000-0000-0000D7000000}"/>
                    </a:ext>
                  </a:extLst>
                </xdr:cNvPr>
                <xdr:cNvSpPr txBox="1"/>
              </xdr:nvSpPr>
              <xdr:spPr>
                <a:xfrm>
                  <a:off x="13430250" y="6638925"/>
                  <a:ext cx="34169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rgbClr val="0070C0"/>
                      </a:solidFill>
                    </a:rPr>
                    <a:t>(2)</a:t>
                  </a:r>
                  <a:endParaRPr kumimoji="1" lang="ja-JP" altLang="en-US" sz="1100">
                    <a:solidFill>
                      <a:srgbClr val="0070C0"/>
                    </a:solidFill>
                  </a:endParaRPr>
                </a:p>
              </xdr:txBody>
            </xdr:sp>
            <xdr:cxnSp macro="">
              <xdr:nvCxnSpPr>
                <xdr:cNvPr id="218" name="直線矢印コネクタ 217">
                  <a:extLst>
                    <a:ext uri="{FF2B5EF4-FFF2-40B4-BE49-F238E27FC236}">
                      <a16:creationId xmlns:a16="http://schemas.microsoft.com/office/drawing/2014/main" id="{00000000-0008-0000-0000-0000DA000000}"/>
                    </a:ext>
                  </a:extLst>
                </xdr:cNvPr>
                <xdr:cNvCxnSpPr/>
              </xdr:nvCxnSpPr>
              <xdr:spPr>
                <a:xfrm flipH="1">
                  <a:off x="12211050" y="7534275"/>
                  <a:ext cx="2019300"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0" name="直線矢印コネクタ 219">
                  <a:extLst>
                    <a:ext uri="{FF2B5EF4-FFF2-40B4-BE49-F238E27FC236}">
                      <a16:creationId xmlns:a16="http://schemas.microsoft.com/office/drawing/2014/main" id="{00000000-0008-0000-0000-0000DC000000}"/>
                    </a:ext>
                  </a:extLst>
                </xdr:cNvPr>
                <xdr:cNvCxnSpPr/>
              </xdr:nvCxnSpPr>
              <xdr:spPr>
                <a:xfrm>
                  <a:off x="11911921" y="7144051"/>
                  <a:ext cx="3854" cy="5045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228" name="グループ化 227">
                <a:extLst>
                  <a:ext uri="{FF2B5EF4-FFF2-40B4-BE49-F238E27FC236}">
                    <a16:creationId xmlns:a16="http://schemas.microsoft.com/office/drawing/2014/main" id="{00000000-0008-0000-0000-0000E4000000}"/>
                  </a:ext>
                </a:extLst>
              </xdr:cNvPr>
              <xdr:cNvGrpSpPr/>
            </xdr:nvGrpSpPr>
            <xdr:grpSpPr>
              <a:xfrm>
                <a:off x="11010900" y="5833360"/>
                <a:ext cx="569387" cy="805565"/>
                <a:chOff x="11010900" y="5833360"/>
                <a:chExt cx="569387" cy="805565"/>
              </a:xfrm>
            </xdr:grpSpPr>
            <xdr:cxnSp macro="">
              <xdr:nvCxnSpPr>
                <xdr:cNvPr id="156" name="直線矢印コネクタ 155">
                  <a:extLst>
                    <a:ext uri="{FF2B5EF4-FFF2-40B4-BE49-F238E27FC236}">
                      <a16:creationId xmlns:a16="http://schemas.microsoft.com/office/drawing/2014/main" id="{00000000-0008-0000-0000-00009C000000}"/>
                    </a:ext>
                  </a:extLst>
                </xdr:cNvPr>
                <xdr:cNvCxnSpPr/>
              </xdr:nvCxnSpPr>
              <xdr:spPr>
                <a:xfrm flipV="1">
                  <a:off x="11020425" y="5834740"/>
                  <a:ext cx="219075" cy="1382"/>
                </a:xfrm>
                <a:prstGeom prst="straightConnector1">
                  <a:avLst/>
                </a:prstGeom>
                <a:ln w="19050">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7" name="図形 83">
                  <a:extLst>
                    <a:ext uri="{FF2B5EF4-FFF2-40B4-BE49-F238E27FC236}">
                      <a16:creationId xmlns:a16="http://schemas.microsoft.com/office/drawing/2014/main" id="{00000000-0008-0000-0000-00009D000000}"/>
                    </a:ext>
                  </a:extLst>
                </xdr:cNvPr>
                <xdr:cNvCxnSpPr/>
              </xdr:nvCxnSpPr>
              <xdr:spPr>
                <a:xfrm rot="16200000" flipV="1">
                  <a:off x="10693845" y="6159941"/>
                  <a:ext cx="805565" cy="152403"/>
                </a:xfrm>
                <a:prstGeom prst="bentConnector3">
                  <a:avLst>
                    <a:gd name="adj1" fmla="val 25170"/>
                  </a:avLst>
                </a:prstGeom>
                <a:ln w="19050">
                  <a:solidFill>
                    <a:schemeClr val="accent1">
                      <a:lumMod val="75000"/>
                    </a:scheme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226" name="テキスト ボックス 225">
                  <a:extLst>
                    <a:ext uri="{FF2B5EF4-FFF2-40B4-BE49-F238E27FC236}">
                      <a16:creationId xmlns:a16="http://schemas.microsoft.com/office/drawing/2014/main" id="{00000000-0008-0000-0000-0000E2000000}"/>
                    </a:ext>
                  </a:extLst>
                </xdr:cNvPr>
                <xdr:cNvSpPr txBox="1"/>
              </xdr:nvSpPr>
              <xdr:spPr>
                <a:xfrm>
                  <a:off x="11010900" y="6124575"/>
                  <a:ext cx="569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（修正）</a:t>
                  </a:r>
                </a:p>
              </xdr:txBody>
            </xdr:sp>
          </xdr:grpSp>
        </xdr:grpSp>
        <xdr:sp macro="" textlink="">
          <xdr:nvSpPr>
            <xdr:cNvPr id="234" name="テキスト ボックス 233">
              <a:extLst>
                <a:ext uri="{FF2B5EF4-FFF2-40B4-BE49-F238E27FC236}">
                  <a16:creationId xmlns:a16="http://schemas.microsoft.com/office/drawing/2014/main" id="{00000000-0008-0000-0000-0000EA000000}"/>
                </a:ext>
              </a:extLst>
            </xdr:cNvPr>
            <xdr:cNvSpPr txBox="1"/>
          </xdr:nvSpPr>
          <xdr:spPr>
            <a:xfrm>
              <a:off x="12925425" y="2733675"/>
              <a:ext cx="544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推奨）</a:t>
              </a:r>
            </a:p>
          </xdr:txBody>
        </xdr:sp>
      </xdr:grpSp>
      <xdr:sp macro="" textlink="">
        <xdr:nvSpPr>
          <xdr:cNvPr id="236" name="テキスト ボックス 235">
            <a:extLst>
              <a:ext uri="{FF2B5EF4-FFF2-40B4-BE49-F238E27FC236}">
                <a16:creationId xmlns:a16="http://schemas.microsoft.com/office/drawing/2014/main" id="{00000000-0008-0000-0000-0000EC000000}"/>
              </a:ext>
            </a:extLst>
          </xdr:cNvPr>
          <xdr:cNvSpPr txBox="1"/>
        </xdr:nvSpPr>
        <xdr:spPr>
          <a:xfrm>
            <a:off x="12372975" y="657225"/>
            <a:ext cx="19523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0070C0"/>
                </a:solidFill>
              </a:rPr>
              <a:t>（ｘ）</a:t>
            </a:r>
            <a:r>
              <a:rPr kumimoji="1" lang="ja-JP" altLang="en-US" sz="1100"/>
              <a:t>：ﾌﾟﾙﾀﾞｳﾝﾒﾆｭｰの番号です</a:t>
            </a:r>
          </a:p>
        </xdr:txBody>
      </xdr:sp>
    </xdr:grpSp>
    <xdr:clientData/>
  </xdr:twoCellAnchor>
  <xdr:twoCellAnchor>
    <xdr:from>
      <xdr:col>18</xdr:col>
      <xdr:colOff>733426</xdr:colOff>
      <xdr:row>12</xdr:row>
      <xdr:rowOff>152400</xdr:rowOff>
    </xdr:from>
    <xdr:to>
      <xdr:col>25</xdr:col>
      <xdr:colOff>142876</xdr:colOff>
      <xdr:row>14</xdr:row>
      <xdr:rowOff>0</xdr:rowOff>
    </xdr:to>
    <xdr:sp macro="" textlink="">
      <xdr:nvSpPr>
        <xdr:cNvPr id="128" name="正方形/長方形 127">
          <a:extLst>
            <a:ext uri="{FF2B5EF4-FFF2-40B4-BE49-F238E27FC236}">
              <a16:creationId xmlns:a16="http://schemas.microsoft.com/office/drawing/2014/main" id="{00000000-0008-0000-0000-000080000000}"/>
            </a:ext>
          </a:extLst>
        </xdr:cNvPr>
        <xdr:cNvSpPr/>
      </xdr:nvSpPr>
      <xdr:spPr>
        <a:xfrm>
          <a:off x="6677026" y="2914650"/>
          <a:ext cx="4019550" cy="266700"/>
        </a:xfrm>
        <a:prstGeom prst="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oneCellAnchor>
    <xdr:from>
      <xdr:col>23</xdr:col>
      <xdr:colOff>352425</xdr:colOff>
      <xdr:row>10</xdr:row>
      <xdr:rowOff>95250</xdr:rowOff>
    </xdr:from>
    <xdr:ext cx="1295400" cy="259045"/>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9601200" y="2438400"/>
          <a:ext cx="12954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b="1">
              <a:solidFill>
                <a:srgbClr val="0070C0"/>
              </a:solidFill>
            </a:rPr>
            <a:t>最近の成績表示：</a:t>
          </a:r>
        </a:p>
      </xdr:txBody>
    </xdr:sp>
    <xdr:clientData/>
  </xdr:oneCellAnchor>
  <xdr:oneCellAnchor>
    <xdr:from>
      <xdr:col>6</xdr:col>
      <xdr:colOff>219075</xdr:colOff>
      <xdr:row>8</xdr:row>
      <xdr:rowOff>134998</xdr:rowOff>
    </xdr:from>
    <xdr:ext cx="1950406" cy="325730"/>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847725" y="2449573"/>
          <a:ext cx="19504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400" b="1" u="sng">
              <a:solidFill>
                <a:schemeClr val="tx1"/>
              </a:solidFill>
            </a:rPr>
            <a:t>出欠表</a:t>
          </a:r>
          <a:r>
            <a:rPr kumimoji="1" lang="ja-JP" altLang="en-US" sz="1000" b="1" u="sng">
              <a:solidFill>
                <a:schemeClr val="tx1"/>
              </a:solidFill>
            </a:rPr>
            <a:t>（使わなくても</a:t>
          </a:r>
          <a:r>
            <a:rPr kumimoji="1" lang="en-US" altLang="ja-JP" sz="1000" b="1" u="sng">
              <a:solidFill>
                <a:schemeClr val="tx1"/>
              </a:solidFill>
            </a:rPr>
            <a:t>OK </a:t>
          </a:r>
          <a:r>
            <a:rPr kumimoji="1" lang="ja-JP" altLang="en-US" sz="1000" b="1" u="sng">
              <a:solidFill>
                <a:schemeClr val="tx1"/>
              </a:solidFill>
            </a:rPr>
            <a:t>です）</a:t>
          </a:r>
        </a:p>
      </xdr:txBody>
    </xdr:sp>
    <xdr:clientData/>
  </xdr:oneCellAnchor>
  <xdr:twoCellAnchor>
    <xdr:from>
      <xdr:col>0</xdr:col>
      <xdr:colOff>257175</xdr:colOff>
      <xdr:row>10</xdr:row>
      <xdr:rowOff>152399</xdr:rowOff>
    </xdr:from>
    <xdr:to>
      <xdr:col>12</xdr:col>
      <xdr:colOff>180975</xdr:colOff>
      <xdr:row>22</xdr:row>
      <xdr:rowOff>200025</xdr:rowOff>
    </xdr:to>
    <xdr:grpSp>
      <xdr:nvGrpSpPr>
        <xdr:cNvPr id="231" name="グループ化 230">
          <a:extLst>
            <a:ext uri="{FF2B5EF4-FFF2-40B4-BE49-F238E27FC236}">
              <a16:creationId xmlns:a16="http://schemas.microsoft.com/office/drawing/2014/main" id="{00000000-0008-0000-0000-0000E7000000}"/>
            </a:ext>
          </a:extLst>
        </xdr:cNvPr>
        <xdr:cNvGrpSpPr/>
      </xdr:nvGrpSpPr>
      <xdr:grpSpPr>
        <a:xfrm>
          <a:off x="257175" y="2867024"/>
          <a:ext cx="2781300" cy="2562226"/>
          <a:chOff x="1752599" y="2428874"/>
          <a:chExt cx="3131923" cy="2428875"/>
        </a:xfrm>
      </xdr:grpSpPr>
      <xdr:sp macro="" textlink="">
        <xdr:nvSpPr>
          <xdr:cNvPr id="227" name="正方形/長方形 226">
            <a:extLst>
              <a:ext uri="{FF2B5EF4-FFF2-40B4-BE49-F238E27FC236}">
                <a16:creationId xmlns:a16="http://schemas.microsoft.com/office/drawing/2014/main" id="{00000000-0008-0000-0000-0000E3000000}"/>
              </a:ext>
            </a:extLst>
          </xdr:cNvPr>
          <xdr:cNvSpPr/>
        </xdr:nvSpPr>
        <xdr:spPr>
          <a:xfrm>
            <a:off x="1752599" y="2428874"/>
            <a:ext cx="3009901" cy="24288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790699" y="2486025"/>
            <a:ext cx="3093823" cy="2324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(1)</a:t>
            </a:r>
            <a:r>
              <a:rPr kumimoji="1" lang="ja-JP" altLang="en-US" sz="1100"/>
              <a:t>名前横の出欠欄（黄）をｸﾘｯｸし</a:t>
            </a:r>
            <a:endParaRPr kumimoji="1" lang="en-US" altLang="ja-JP" sz="1100"/>
          </a:p>
          <a:p>
            <a:r>
              <a:rPr kumimoji="1" lang="ja-JP" altLang="en-US" sz="1100"/>
              <a:t>　　出席を○表示させる</a:t>
            </a:r>
            <a:endParaRPr kumimoji="1" lang="en-US" altLang="ja-JP" sz="1100"/>
          </a:p>
          <a:p>
            <a:r>
              <a:rPr kumimoji="1" lang="ja-JP" altLang="en-US" sz="900"/>
              <a:t>　　　　一度クリックすると</a:t>
            </a:r>
            <a:r>
              <a:rPr kumimoji="1" lang="ja-JP" altLang="en-US" sz="800"/>
              <a:t>（▼）が表示されます。</a:t>
            </a:r>
            <a:endParaRPr kumimoji="1" lang="en-US" altLang="ja-JP" sz="800"/>
          </a:p>
          <a:p>
            <a:r>
              <a:rPr kumimoji="1" lang="ja-JP" altLang="en-US" sz="800"/>
              <a:t>　　　　これをｸﾘｯｸすると○</a:t>
            </a:r>
            <a:r>
              <a:rPr kumimoji="1" lang="en-US" altLang="ja-JP" sz="800"/>
              <a:t>×</a:t>
            </a:r>
            <a:r>
              <a:rPr kumimoji="1" lang="ja-JP" altLang="en-US" sz="800"/>
              <a:t>ﾌﾟﾙﾀﾞｳﾝが表示されます</a:t>
            </a:r>
            <a:endParaRPr kumimoji="1" lang="en-US" altLang="ja-JP" sz="800"/>
          </a:p>
          <a:p>
            <a:r>
              <a:rPr kumimoji="1" lang="ja-JP" altLang="en-US" sz="600"/>
              <a:t>　　　　　</a:t>
            </a:r>
            <a:endParaRPr kumimoji="1" lang="en-US" altLang="ja-JP" sz="600"/>
          </a:p>
          <a:p>
            <a:r>
              <a:rPr kumimoji="1" lang="en-US" altLang="ja-JP" sz="1100"/>
              <a:t>(2)</a:t>
            </a:r>
            <a:r>
              <a:rPr kumimoji="1" lang="ja-JP" altLang="en-US" sz="1100"/>
              <a:t>○：出席：名前が太文字に変化</a:t>
            </a:r>
            <a:endParaRPr kumimoji="1" lang="en-US" altLang="ja-JP" sz="1100"/>
          </a:p>
          <a:p>
            <a:r>
              <a:rPr kumimoji="1" lang="ja-JP" altLang="en-US" sz="600"/>
              <a:t>　　　　　　　　</a:t>
            </a:r>
            <a:endParaRPr kumimoji="1" lang="en-US" altLang="ja-JP" sz="600"/>
          </a:p>
          <a:p>
            <a:r>
              <a:rPr kumimoji="1" lang="en-US" altLang="ja-JP" sz="1100"/>
              <a:t>(3)</a:t>
            </a:r>
            <a:r>
              <a:rPr kumimoji="1" lang="ja-JP" altLang="en-US" sz="1100"/>
              <a:t>組合せ表に名前を入れると太文字が</a:t>
            </a:r>
            <a:endParaRPr kumimoji="1" lang="en-US" altLang="ja-JP" sz="1100"/>
          </a:p>
          <a:p>
            <a:r>
              <a:rPr kumimoji="1" lang="ja-JP" altLang="en-US" sz="1100"/>
              <a:t>　　標準に、背景色が薄緑に変化　</a:t>
            </a:r>
            <a:endParaRPr kumimoji="1" lang="en-US" altLang="ja-JP" sz="1100"/>
          </a:p>
          <a:p>
            <a:r>
              <a:rPr kumimoji="1" lang="ja-JP" altLang="en-US" sz="600"/>
              <a:t>　　　　　　　　</a:t>
            </a:r>
            <a:endParaRPr kumimoji="1" lang="en-US" altLang="ja-JP" sz="600"/>
          </a:p>
          <a:p>
            <a:r>
              <a:rPr kumimoji="1" lang="en-US" altLang="ja-JP" sz="1100"/>
              <a:t>(4)</a:t>
            </a:r>
            <a:r>
              <a:rPr kumimoji="1" lang="ja-JP" altLang="en-US" sz="1100"/>
              <a:t>組合せ表に欠席者を入れると</a:t>
            </a:r>
            <a:endParaRPr kumimoji="1" lang="en-US" altLang="ja-JP" sz="1100"/>
          </a:p>
          <a:p>
            <a:r>
              <a:rPr kumimoji="1" lang="ja-JP" altLang="en-US" sz="1100"/>
              <a:t>　　ｵﾚﾝｼﾞの背景色でｱﾗｰﾑ表示</a:t>
            </a:r>
            <a:endParaRPr kumimoji="1" lang="en-US" altLang="ja-JP" sz="1100"/>
          </a:p>
          <a:p>
            <a:r>
              <a:rPr kumimoji="1" lang="ja-JP" altLang="en-US" sz="600"/>
              <a:t>　　　　　　　　</a:t>
            </a:r>
            <a:endParaRPr kumimoji="1" lang="en-US" altLang="ja-JP" sz="600"/>
          </a:p>
          <a:p>
            <a:r>
              <a:rPr kumimoji="1" lang="en-US" altLang="ja-JP" sz="1100"/>
              <a:t>(5)</a:t>
            </a:r>
            <a:r>
              <a:rPr kumimoji="1" lang="ja-JP" altLang="en-US" sz="1100"/>
              <a:t>太文字が消え、ｵﾚﾝｼﾞ表示が</a:t>
            </a:r>
            <a:endParaRPr kumimoji="1" lang="en-US" altLang="ja-JP" sz="1100"/>
          </a:p>
          <a:p>
            <a:r>
              <a:rPr kumimoji="1" lang="ja-JP" altLang="en-US" sz="1100"/>
              <a:t>　　なければ完成！</a:t>
            </a:r>
          </a:p>
        </xdr:txBody>
      </xdr:sp>
    </xdr:grpSp>
    <xdr:clientData/>
  </xdr:twoCellAnchor>
  <xdr:oneCellAnchor>
    <xdr:from>
      <xdr:col>16</xdr:col>
      <xdr:colOff>9525</xdr:colOff>
      <xdr:row>25</xdr:row>
      <xdr:rowOff>85725</xdr:rowOff>
    </xdr:from>
    <xdr:ext cx="685800" cy="238125"/>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4810125" y="5619750"/>
          <a:ext cx="68580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800"/>
            <a:t>(hh:mm)</a:t>
          </a:r>
          <a:endParaRPr kumimoji="1" lang="ja-JP" altLang="en-US" sz="800"/>
        </a:p>
      </xdr:txBody>
    </xdr:sp>
    <xdr:clientData/>
  </xdr:oneCellAnchor>
  <xdr:twoCellAnchor>
    <xdr:from>
      <xdr:col>21</xdr:col>
      <xdr:colOff>161925</xdr:colOff>
      <xdr:row>21</xdr:row>
      <xdr:rowOff>66675</xdr:rowOff>
    </xdr:from>
    <xdr:to>
      <xdr:col>26</xdr:col>
      <xdr:colOff>445114</xdr:colOff>
      <xdr:row>24</xdr:row>
      <xdr:rowOff>70924</xdr:rowOff>
    </xdr:to>
    <xdr:grpSp>
      <xdr:nvGrpSpPr>
        <xdr:cNvPr id="217" name="グループ化 216">
          <a:extLst>
            <a:ext uri="{FF2B5EF4-FFF2-40B4-BE49-F238E27FC236}">
              <a16:creationId xmlns:a16="http://schemas.microsoft.com/office/drawing/2014/main" id="{00000000-0008-0000-0000-0000D9000000}"/>
            </a:ext>
          </a:extLst>
        </xdr:cNvPr>
        <xdr:cNvGrpSpPr/>
      </xdr:nvGrpSpPr>
      <xdr:grpSpPr>
        <a:xfrm>
          <a:off x="8162925" y="5086350"/>
          <a:ext cx="3112114" cy="680524"/>
          <a:chOff x="8020050" y="4391025"/>
          <a:chExt cx="3112114" cy="680524"/>
        </a:xfrm>
      </xdr:grpSpPr>
      <xdr:sp macro="" textlink="">
        <xdr:nvSpPr>
          <xdr:cNvPr id="207" name="正方形/長方形 206">
            <a:extLst>
              <a:ext uri="{FF2B5EF4-FFF2-40B4-BE49-F238E27FC236}">
                <a16:creationId xmlns:a16="http://schemas.microsoft.com/office/drawing/2014/main" id="{00000000-0008-0000-0000-0000CF000000}"/>
              </a:ext>
            </a:extLst>
          </xdr:cNvPr>
          <xdr:cNvSpPr/>
        </xdr:nvSpPr>
        <xdr:spPr>
          <a:xfrm>
            <a:off x="8020050" y="4448175"/>
            <a:ext cx="352425" cy="114300"/>
          </a:xfrm>
          <a:prstGeom prst="rect">
            <a:avLst/>
          </a:prstGeom>
          <a:solidFill>
            <a:srgbClr val="FFFFCC"/>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08" name="正方形/長方形 207">
            <a:extLst>
              <a:ext uri="{FF2B5EF4-FFF2-40B4-BE49-F238E27FC236}">
                <a16:creationId xmlns:a16="http://schemas.microsoft.com/office/drawing/2014/main" id="{00000000-0008-0000-0000-0000D0000000}"/>
              </a:ext>
            </a:extLst>
          </xdr:cNvPr>
          <xdr:cNvSpPr/>
        </xdr:nvSpPr>
        <xdr:spPr>
          <a:xfrm>
            <a:off x="8020050" y="4667250"/>
            <a:ext cx="352425" cy="114300"/>
          </a:xfrm>
          <a:prstGeom prst="rect">
            <a:avLst/>
          </a:prstGeom>
          <a:solidFill>
            <a:schemeClr val="accent6">
              <a:lumMod val="20000"/>
              <a:lumOff val="8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09" name="正方形/長方形 208">
            <a:extLst>
              <a:ext uri="{FF2B5EF4-FFF2-40B4-BE49-F238E27FC236}">
                <a16:creationId xmlns:a16="http://schemas.microsoft.com/office/drawing/2014/main" id="{00000000-0008-0000-0000-0000D1000000}"/>
              </a:ext>
            </a:extLst>
          </xdr:cNvPr>
          <xdr:cNvSpPr/>
        </xdr:nvSpPr>
        <xdr:spPr>
          <a:xfrm>
            <a:off x="8020050" y="4895850"/>
            <a:ext cx="352425" cy="114300"/>
          </a:xfrm>
          <a:prstGeom prst="rect">
            <a:avLst/>
          </a:prstGeom>
          <a:solidFill>
            <a:srgbClr val="CCEC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10" name="テキスト ボックス 209">
            <a:extLst>
              <a:ext uri="{FF2B5EF4-FFF2-40B4-BE49-F238E27FC236}">
                <a16:creationId xmlns:a16="http://schemas.microsoft.com/office/drawing/2014/main" id="{00000000-0008-0000-0000-0000D2000000}"/>
              </a:ext>
            </a:extLst>
          </xdr:cNvPr>
          <xdr:cNvSpPr txBox="1"/>
        </xdr:nvSpPr>
        <xdr:spPr>
          <a:xfrm>
            <a:off x="8343900" y="4391025"/>
            <a:ext cx="220489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t>：組合せ表作成時に入力、名前はﾌﾟﾙﾀﾞｳﾝ</a:t>
            </a:r>
          </a:p>
        </xdr:txBody>
      </xdr:sp>
      <xdr:sp macro="" textlink="">
        <xdr:nvSpPr>
          <xdr:cNvPr id="214" name="テキスト ボックス 213">
            <a:extLst>
              <a:ext uri="{FF2B5EF4-FFF2-40B4-BE49-F238E27FC236}">
                <a16:creationId xmlns:a16="http://schemas.microsoft.com/office/drawing/2014/main" id="{00000000-0008-0000-0000-0000D6000000}"/>
              </a:ext>
            </a:extLst>
          </xdr:cNvPr>
          <xdr:cNvSpPr txBox="1"/>
        </xdr:nvSpPr>
        <xdr:spPr>
          <a:xfrm>
            <a:off x="8343900" y="4610100"/>
            <a:ext cx="254217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t>：成績記入欄（半角数字）、最下段ﾌﾟﾚｾﾞﾝﾄ等記入</a:t>
            </a:r>
          </a:p>
        </xdr:txBody>
      </xdr:sp>
      <xdr:sp macro="" textlink="">
        <xdr:nvSpPr>
          <xdr:cNvPr id="216" name="テキスト ボックス 215">
            <a:extLst>
              <a:ext uri="{FF2B5EF4-FFF2-40B4-BE49-F238E27FC236}">
                <a16:creationId xmlns:a16="http://schemas.microsoft.com/office/drawing/2014/main" id="{00000000-0008-0000-0000-0000D8000000}"/>
              </a:ext>
            </a:extLst>
          </xdr:cNvPr>
          <xdr:cNvSpPr txBox="1"/>
        </xdr:nvSpPr>
        <xdr:spPr>
          <a:xfrm>
            <a:off x="8343900" y="4829175"/>
            <a:ext cx="278826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t>：最近のｽｺｱが表示されます（上段：今年、下段：昨年）</a:t>
            </a:r>
          </a:p>
        </xdr:txBody>
      </xdr:sp>
    </xdr:grpSp>
    <xdr:clientData/>
  </xdr:twoCellAnchor>
  <xdr:twoCellAnchor>
    <xdr:from>
      <xdr:col>14</xdr:col>
      <xdr:colOff>438151</xdr:colOff>
      <xdr:row>11</xdr:row>
      <xdr:rowOff>200024</xdr:rowOff>
    </xdr:from>
    <xdr:to>
      <xdr:col>18</xdr:col>
      <xdr:colOff>514350</xdr:colOff>
      <xdr:row>14</xdr:row>
      <xdr:rowOff>57149</xdr:rowOff>
    </xdr:to>
    <xdr:sp macro="" textlink="">
      <xdr:nvSpPr>
        <xdr:cNvPr id="221" name="ホームベース 220">
          <a:extLst>
            <a:ext uri="{FF2B5EF4-FFF2-40B4-BE49-F238E27FC236}">
              <a16:creationId xmlns:a16="http://schemas.microsoft.com/office/drawing/2014/main" id="{00000000-0008-0000-0000-0000DD000000}"/>
            </a:ext>
          </a:extLst>
        </xdr:cNvPr>
        <xdr:cNvSpPr/>
      </xdr:nvSpPr>
      <xdr:spPr>
        <a:xfrm>
          <a:off x="3933826" y="2752724"/>
          <a:ext cx="2466974" cy="485775"/>
        </a:xfrm>
        <a:prstGeom prst="homePlate">
          <a:avLst/>
        </a:prstGeom>
        <a:ln>
          <a:solidFill>
            <a:schemeClr val="tx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rtlCol="0" anchor="ctr"/>
        <a:lstStyle/>
        <a:p>
          <a:pPr algn="l"/>
          <a:r>
            <a:rPr kumimoji="1" lang="ja-JP" altLang="en-US" sz="1000" b="1">
              <a:solidFill>
                <a:schemeClr val="accent1">
                  <a:lumMod val="75000"/>
                </a:schemeClr>
              </a:solidFill>
            </a:rPr>
            <a:t>「</a:t>
          </a:r>
          <a:r>
            <a:rPr kumimoji="1" lang="en-US" altLang="ja-JP" sz="1000" b="1">
              <a:solidFill>
                <a:schemeClr val="accent1">
                  <a:lumMod val="75000"/>
                </a:schemeClr>
              </a:solidFill>
            </a:rPr>
            <a:t>(1)</a:t>
          </a:r>
          <a:r>
            <a:rPr kumimoji="1" lang="ja-JP" altLang="en-US" sz="1000" b="1">
              <a:solidFill>
                <a:schemeClr val="accent1">
                  <a:lumMod val="75000"/>
                </a:schemeClr>
              </a:solidFill>
            </a:rPr>
            <a:t>組合せ入力」　から始め、以降</a:t>
          </a:r>
          <a:endParaRPr kumimoji="1" lang="en-US" altLang="ja-JP" sz="1000" b="1">
            <a:solidFill>
              <a:schemeClr val="accent1">
                <a:lumMod val="75000"/>
              </a:schemeClr>
            </a:solidFill>
          </a:endParaRPr>
        </a:p>
        <a:p>
          <a:pPr algn="l"/>
          <a:r>
            <a:rPr kumimoji="1" lang="ja-JP" altLang="en-US" sz="1000" b="1">
              <a:solidFill>
                <a:schemeClr val="accent1">
                  <a:lumMod val="75000"/>
                </a:schemeClr>
              </a:solidFill>
            </a:rPr>
            <a:t>ﾌﾟﾙﾀﾞｳﾝ（▼）で</a:t>
          </a:r>
          <a:r>
            <a:rPr kumimoji="1" lang="en-US" altLang="ja-JP" sz="1000" b="1">
              <a:solidFill>
                <a:schemeClr val="accent1">
                  <a:lumMod val="75000"/>
                </a:schemeClr>
              </a:solidFill>
            </a:rPr>
            <a:t>(2)</a:t>
          </a:r>
          <a:r>
            <a:rPr kumimoji="1" lang="ja-JP" altLang="en-US" sz="1000" b="1">
              <a:solidFill>
                <a:schemeClr val="accent1">
                  <a:lumMod val="75000"/>
                </a:schemeClr>
              </a:solidFill>
            </a:rPr>
            <a:t>、</a:t>
          </a:r>
          <a:r>
            <a:rPr kumimoji="1" lang="en-US" altLang="ja-JP" sz="1000" b="1">
              <a:solidFill>
                <a:schemeClr val="accent1">
                  <a:lumMod val="75000"/>
                </a:schemeClr>
              </a:solidFill>
            </a:rPr>
            <a:t>(3)</a:t>
          </a:r>
          <a:r>
            <a:rPr kumimoji="1" lang="ja-JP" altLang="en-US" sz="1000" b="1">
              <a:solidFill>
                <a:schemeClr val="accent1">
                  <a:lumMod val="75000"/>
                </a:schemeClr>
              </a:solidFill>
            </a:rPr>
            <a:t>と進んで下さい</a:t>
          </a:r>
        </a:p>
      </xdr:txBody>
    </xdr:sp>
    <xdr:clientData/>
  </xdr:twoCellAnchor>
  <xdr:oneCellAnchor>
    <xdr:from>
      <xdr:col>19</xdr:col>
      <xdr:colOff>285750</xdr:colOff>
      <xdr:row>23</xdr:row>
      <xdr:rowOff>0</xdr:rowOff>
    </xdr:from>
    <xdr:ext cx="184731" cy="264560"/>
    <xdr:sp macro="" textlink="">
      <xdr:nvSpPr>
        <xdr:cNvPr id="222" name="テキスト ボックス 221">
          <a:extLst>
            <a:ext uri="{FF2B5EF4-FFF2-40B4-BE49-F238E27FC236}">
              <a16:creationId xmlns:a16="http://schemas.microsoft.com/office/drawing/2014/main" id="{00000000-0008-0000-0000-0000DE000000}"/>
            </a:ext>
          </a:extLst>
        </xdr:cNvPr>
        <xdr:cNvSpPr txBox="1"/>
      </xdr:nvSpPr>
      <xdr:spPr>
        <a:xfrm>
          <a:off x="6991350"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twoCellAnchor>
    <xdr:from>
      <xdr:col>18</xdr:col>
      <xdr:colOff>561975</xdr:colOff>
      <xdr:row>15</xdr:row>
      <xdr:rowOff>0</xdr:rowOff>
    </xdr:from>
    <xdr:to>
      <xdr:col>19</xdr:col>
      <xdr:colOff>352425</xdr:colOff>
      <xdr:row>16</xdr:row>
      <xdr:rowOff>66167</xdr:rowOff>
    </xdr:to>
    <xdr:grpSp>
      <xdr:nvGrpSpPr>
        <xdr:cNvPr id="225" name="グループ化 224">
          <a:extLst>
            <a:ext uri="{FF2B5EF4-FFF2-40B4-BE49-F238E27FC236}">
              <a16:creationId xmlns:a16="http://schemas.microsoft.com/office/drawing/2014/main" id="{00000000-0008-0000-0000-0000E1000000}"/>
            </a:ext>
          </a:extLst>
        </xdr:cNvPr>
        <xdr:cNvGrpSpPr/>
      </xdr:nvGrpSpPr>
      <xdr:grpSpPr>
        <a:xfrm>
          <a:off x="6505575" y="3762375"/>
          <a:ext cx="609600" cy="275717"/>
          <a:chOff x="5762625" y="3657600"/>
          <a:chExt cx="609600" cy="275717"/>
        </a:xfrm>
      </xdr:grpSpPr>
      <xdr:sp macro="" textlink="">
        <xdr:nvSpPr>
          <xdr:cNvPr id="219" name="ホームベース 218">
            <a:extLst>
              <a:ext uri="{FF2B5EF4-FFF2-40B4-BE49-F238E27FC236}">
                <a16:creationId xmlns:a16="http://schemas.microsoft.com/office/drawing/2014/main" id="{00000000-0008-0000-0000-0000DB000000}"/>
              </a:ext>
            </a:extLst>
          </xdr:cNvPr>
          <xdr:cNvSpPr/>
        </xdr:nvSpPr>
        <xdr:spPr>
          <a:xfrm>
            <a:off x="5810250" y="3657600"/>
            <a:ext cx="561975" cy="266700"/>
          </a:xfrm>
          <a:prstGeom prst="homePlat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223" name="テキスト ボックス 222">
            <a:extLst>
              <a:ext uri="{FF2B5EF4-FFF2-40B4-BE49-F238E27FC236}">
                <a16:creationId xmlns:a16="http://schemas.microsoft.com/office/drawing/2014/main" id="{00000000-0008-0000-0000-0000DF000000}"/>
              </a:ext>
            </a:extLst>
          </xdr:cNvPr>
          <xdr:cNvSpPr txBox="1"/>
        </xdr:nvSpPr>
        <xdr:spPr>
          <a:xfrm>
            <a:off x="5762625" y="365760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chemeClr val="accent1">
                    <a:lumMod val="75000"/>
                  </a:schemeClr>
                </a:solidFill>
              </a:rPr>
              <a:t>手順</a:t>
            </a:r>
          </a:p>
        </xdr:txBody>
      </xdr:sp>
    </xdr:grpSp>
    <xdr:clientData/>
  </xdr:twoCellAnchor>
  <xdr:twoCellAnchor>
    <xdr:from>
      <xdr:col>0</xdr:col>
      <xdr:colOff>600076</xdr:colOff>
      <xdr:row>0</xdr:row>
      <xdr:rowOff>647700</xdr:rowOff>
    </xdr:from>
    <xdr:to>
      <xdr:col>14</xdr:col>
      <xdr:colOff>19051</xdr:colOff>
      <xdr:row>6</xdr:row>
      <xdr:rowOff>9525</xdr:rowOff>
    </xdr:to>
    <xdr:sp macro="" textlink="">
      <xdr:nvSpPr>
        <xdr:cNvPr id="150" name="正方形/長方形 149">
          <a:extLst>
            <a:ext uri="{FF2B5EF4-FFF2-40B4-BE49-F238E27FC236}">
              <a16:creationId xmlns:a16="http://schemas.microsoft.com/office/drawing/2014/main" id="{00000000-0008-0000-0000-000096000000}"/>
            </a:ext>
          </a:extLst>
        </xdr:cNvPr>
        <xdr:cNvSpPr/>
      </xdr:nvSpPr>
      <xdr:spPr>
        <a:xfrm>
          <a:off x="600076" y="647700"/>
          <a:ext cx="2914650" cy="12668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24</xdr:col>
          <xdr:colOff>85725</xdr:colOff>
          <xdr:row>32</xdr:row>
          <xdr:rowOff>38100</xdr:rowOff>
        </xdr:from>
        <xdr:to>
          <xdr:col>24</xdr:col>
          <xdr:colOff>752475</xdr:colOff>
          <xdr:row>33</xdr:row>
          <xdr:rowOff>0</xdr:rowOff>
        </xdr:to>
        <xdr:sp macro="" textlink="">
          <xdr:nvSpPr>
            <xdr:cNvPr id="1055" name="Drop Dow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34</xdr:row>
          <xdr:rowOff>38100</xdr:rowOff>
        </xdr:from>
        <xdr:to>
          <xdr:col>24</xdr:col>
          <xdr:colOff>752475</xdr:colOff>
          <xdr:row>35</xdr:row>
          <xdr:rowOff>0</xdr:rowOff>
        </xdr:to>
        <xdr:sp macro="" textlink="">
          <xdr:nvSpPr>
            <xdr:cNvPr id="1059" name="Drop Dow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36</xdr:row>
          <xdr:rowOff>38100</xdr:rowOff>
        </xdr:from>
        <xdr:to>
          <xdr:col>24</xdr:col>
          <xdr:colOff>752475</xdr:colOff>
          <xdr:row>37</xdr:row>
          <xdr:rowOff>0</xdr:rowOff>
        </xdr:to>
        <xdr:sp macro="" textlink="">
          <xdr:nvSpPr>
            <xdr:cNvPr id="1063" name="Drop Down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38</xdr:row>
          <xdr:rowOff>38100</xdr:rowOff>
        </xdr:from>
        <xdr:to>
          <xdr:col>24</xdr:col>
          <xdr:colOff>752475</xdr:colOff>
          <xdr:row>39</xdr:row>
          <xdr:rowOff>0</xdr:rowOff>
        </xdr:to>
        <xdr:sp macro="" textlink="">
          <xdr:nvSpPr>
            <xdr:cNvPr id="1067" name="Drop Dow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40</xdr:row>
          <xdr:rowOff>47625</xdr:rowOff>
        </xdr:from>
        <xdr:to>
          <xdr:col>24</xdr:col>
          <xdr:colOff>752475</xdr:colOff>
          <xdr:row>41</xdr:row>
          <xdr:rowOff>0</xdr:rowOff>
        </xdr:to>
        <xdr:sp macro="" textlink="">
          <xdr:nvSpPr>
            <xdr:cNvPr id="1071" name="Drop Dow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42</xdr:row>
          <xdr:rowOff>38100</xdr:rowOff>
        </xdr:from>
        <xdr:to>
          <xdr:col>24</xdr:col>
          <xdr:colOff>752475</xdr:colOff>
          <xdr:row>43</xdr:row>
          <xdr:rowOff>0</xdr:rowOff>
        </xdr:to>
        <xdr:sp macro="" textlink="">
          <xdr:nvSpPr>
            <xdr:cNvPr id="1075" name="Drop Dow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44</xdr:row>
          <xdr:rowOff>47625</xdr:rowOff>
        </xdr:from>
        <xdr:to>
          <xdr:col>24</xdr:col>
          <xdr:colOff>752475</xdr:colOff>
          <xdr:row>45</xdr:row>
          <xdr:rowOff>0</xdr:rowOff>
        </xdr:to>
        <xdr:sp macro="" textlink="">
          <xdr:nvSpPr>
            <xdr:cNvPr id="1079" name="Drop Dow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26</xdr:row>
          <xdr:rowOff>47625</xdr:rowOff>
        </xdr:from>
        <xdr:to>
          <xdr:col>24</xdr:col>
          <xdr:colOff>752475</xdr:colOff>
          <xdr:row>27</xdr:row>
          <xdr:rowOff>0</xdr:rowOff>
        </xdr:to>
        <xdr:sp macro="" textlink="">
          <xdr:nvSpPr>
            <xdr:cNvPr id="1443" name="Drop Down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28</xdr:row>
          <xdr:rowOff>38100</xdr:rowOff>
        </xdr:from>
        <xdr:to>
          <xdr:col>24</xdr:col>
          <xdr:colOff>752475</xdr:colOff>
          <xdr:row>29</xdr:row>
          <xdr:rowOff>0</xdr:rowOff>
        </xdr:to>
        <xdr:sp macro="" textlink="">
          <xdr:nvSpPr>
            <xdr:cNvPr id="1447" name="Drop Dow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30</xdr:row>
          <xdr:rowOff>47625</xdr:rowOff>
        </xdr:from>
        <xdr:to>
          <xdr:col>24</xdr:col>
          <xdr:colOff>752475</xdr:colOff>
          <xdr:row>31</xdr:row>
          <xdr:rowOff>0</xdr:rowOff>
        </xdr:to>
        <xdr:sp macro="" textlink="">
          <xdr:nvSpPr>
            <xdr:cNvPr id="1451" name="Drop Dow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32</xdr:row>
          <xdr:rowOff>38100</xdr:rowOff>
        </xdr:from>
        <xdr:to>
          <xdr:col>18</xdr:col>
          <xdr:colOff>752475</xdr:colOff>
          <xdr:row>33</xdr:row>
          <xdr:rowOff>0</xdr:rowOff>
        </xdr:to>
        <xdr:sp macro="" textlink="">
          <xdr:nvSpPr>
            <xdr:cNvPr id="1052" name="Drop Dow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34</xdr:row>
          <xdr:rowOff>38100</xdr:rowOff>
        </xdr:from>
        <xdr:to>
          <xdr:col>18</xdr:col>
          <xdr:colOff>752475</xdr:colOff>
          <xdr:row>35</xdr:row>
          <xdr:rowOff>0</xdr:rowOff>
        </xdr:to>
        <xdr:sp macro="" textlink="">
          <xdr:nvSpPr>
            <xdr:cNvPr id="1056" name="Drop Dow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36</xdr:row>
          <xdr:rowOff>38100</xdr:rowOff>
        </xdr:from>
        <xdr:to>
          <xdr:col>18</xdr:col>
          <xdr:colOff>752475</xdr:colOff>
          <xdr:row>37</xdr:row>
          <xdr:rowOff>0</xdr:rowOff>
        </xdr:to>
        <xdr:sp macro="" textlink="">
          <xdr:nvSpPr>
            <xdr:cNvPr id="1060" name="Drop Dow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38</xdr:row>
          <xdr:rowOff>38100</xdr:rowOff>
        </xdr:from>
        <xdr:to>
          <xdr:col>18</xdr:col>
          <xdr:colOff>752475</xdr:colOff>
          <xdr:row>39</xdr:row>
          <xdr:rowOff>0</xdr:rowOff>
        </xdr:to>
        <xdr:sp macro="" textlink="">
          <xdr:nvSpPr>
            <xdr:cNvPr id="1064" name="Drop Dow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40</xdr:row>
          <xdr:rowOff>47625</xdr:rowOff>
        </xdr:from>
        <xdr:to>
          <xdr:col>18</xdr:col>
          <xdr:colOff>752475</xdr:colOff>
          <xdr:row>41</xdr:row>
          <xdr:rowOff>0</xdr:rowOff>
        </xdr:to>
        <xdr:sp macro="" textlink="">
          <xdr:nvSpPr>
            <xdr:cNvPr id="1068" name="Drop Dow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42</xdr:row>
          <xdr:rowOff>38100</xdr:rowOff>
        </xdr:from>
        <xdr:to>
          <xdr:col>18</xdr:col>
          <xdr:colOff>752475</xdr:colOff>
          <xdr:row>43</xdr:row>
          <xdr:rowOff>0</xdr:rowOff>
        </xdr:to>
        <xdr:sp macro="" textlink="">
          <xdr:nvSpPr>
            <xdr:cNvPr id="1072" name="Drop Down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44</xdr:row>
          <xdr:rowOff>47625</xdr:rowOff>
        </xdr:from>
        <xdr:to>
          <xdr:col>18</xdr:col>
          <xdr:colOff>752475</xdr:colOff>
          <xdr:row>45</xdr:row>
          <xdr:rowOff>0</xdr:rowOff>
        </xdr:to>
        <xdr:sp macro="" textlink="">
          <xdr:nvSpPr>
            <xdr:cNvPr id="1076" name="Drop Dow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28</xdr:row>
          <xdr:rowOff>38100</xdr:rowOff>
        </xdr:from>
        <xdr:to>
          <xdr:col>18</xdr:col>
          <xdr:colOff>752475</xdr:colOff>
          <xdr:row>29</xdr:row>
          <xdr:rowOff>0</xdr:rowOff>
        </xdr:to>
        <xdr:sp macro="" textlink="">
          <xdr:nvSpPr>
            <xdr:cNvPr id="1444" name="Drop Down 420" hidden="1">
              <a:extLst>
                <a:ext uri="{63B3BB69-23CF-44E3-9099-C40C66FF867C}">
                  <a14:compatExt spid="_x0000_s1444"/>
                </a:ext>
                <a:ext uri="{FF2B5EF4-FFF2-40B4-BE49-F238E27FC236}">
                  <a16:creationId xmlns:a16="http://schemas.microsoft.com/office/drawing/2014/main" id="{00000000-0008-0000-0000-0000A4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30</xdr:row>
          <xdr:rowOff>47625</xdr:rowOff>
        </xdr:from>
        <xdr:to>
          <xdr:col>18</xdr:col>
          <xdr:colOff>752475</xdr:colOff>
          <xdr:row>31</xdr:row>
          <xdr:rowOff>0</xdr:rowOff>
        </xdr:to>
        <xdr:sp macro="" textlink="">
          <xdr:nvSpPr>
            <xdr:cNvPr id="1448" name="Drop Dow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26</xdr:row>
          <xdr:rowOff>47625</xdr:rowOff>
        </xdr:from>
        <xdr:to>
          <xdr:col>18</xdr:col>
          <xdr:colOff>752475</xdr:colOff>
          <xdr:row>27</xdr:row>
          <xdr:rowOff>0</xdr:rowOff>
        </xdr:to>
        <xdr:sp macro="" textlink="">
          <xdr:nvSpPr>
            <xdr:cNvPr id="1472" name="Drop Down 448" hidden="1">
              <a:extLst>
                <a:ext uri="{63B3BB69-23CF-44E3-9099-C40C66FF867C}">
                  <a14:compatExt spid="_x0000_s1472"/>
                </a:ext>
                <a:ext uri="{FF2B5EF4-FFF2-40B4-BE49-F238E27FC236}">
                  <a16:creationId xmlns:a16="http://schemas.microsoft.com/office/drawing/2014/main" id="{00000000-0008-0000-0000-0000C0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20</xdr:col>
          <xdr:colOff>76200</xdr:colOff>
          <xdr:row>32</xdr:row>
          <xdr:rowOff>38100</xdr:rowOff>
        </xdr:from>
        <xdr:to>
          <xdr:col>20</xdr:col>
          <xdr:colOff>752475</xdr:colOff>
          <xdr:row>33</xdr:row>
          <xdr:rowOff>0</xdr:rowOff>
        </xdr:to>
        <xdr:sp macro="" textlink="">
          <xdr:nvSpPr>
            <xdr:cNvPr id="1053" name="Drop Dow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34</xdr:row>
          <xdr:rowOff>38100</xdr:rowOff>
        </xdr:from>
        <xdr:to>
          <xdr:col>20</xdr:col>
          <xdr:colOff>752475</xdr:colOff>
          <xdr:row>35</xdr:row>
          <xdr:rowOff>0</xdr:rowOff>
        </xdr:to>
        <xdr:sp macro="" textlink="">
          <xdr:nvSpPr>
            <xdr:cNvPr id="1057" name="Drop Dow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36</xdr:row>
          <xdr:rowOff>38100</xdr:rowOff>
        </xdr:from>
        <xdr:to>
          <xdr:col>20</xdr:col>
          <xdr:colOff>752475</xdr:colOff>
          <xdr:row>37</xdr:row>
          <xdr:rowOff>0</xdr:rowOff>
        </xdr:to>
        <xdr:sp macro="" textlink="">
          <xdr:nvSpPr>
            <xdr:cNvPr id="1061" name="Drop Dow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38</xdr:row>
          <xdr:rowOff>38100</xdr:rowOff>
        </xdr:from>
        <xdr:to>
          <xdr:col>20</xdr:col>
          <xdr:colOff>752475</xdr:colOff>
          <xdr:row>39</xdr:row>
          <xdr:rowOff>0</xdr:rowOff>
        </xdr:to>
        <xdr:sp macro="" textlink="">
          <xdr:nvSpPr>
            <xdr:cNvPr id="1065" name="Drop Dow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40</xdr:row>
          <xdr:rowOff>47625</xdr:rowOff>
        </xdr:from>
        <xdr:to>
          <xdr:col>20</xdr:col>
          <xdr:colOff>752475</xdr:colOff>
          <xdr:row>41</xdr:row>
          <xdr:rowOff>0</xdr:rowOff>
        </xdr:to>
        <xdr:sp macro="" textlink="">
          <xdr:nvSpPr>
            <xdr:cNvPr id="1069" name="Drop Dow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42</xdr:row>
          <xdr:rowOff>38100</xdr:rowOff>
        </xdr:from>
        <xdr:to>
          <xdr:col>20</xdr:col>
          <xdr:colOff>752475</xdr:colOff>
          <xdr:row>43</xdr:row>
          <xdr:rowOff>0</xdr:rowOff>
        </xdr:to>
        <xdr:sp macro="" textlink="">
          <xdr:nvSpPr>
            <xdr:cNvPr id="1073" name="Drop Dow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44</xdr:row>
          <xdr:rowOff>47625</xdr:rowOff>
        </xdr:from>
        <xdr:to>
          <xdr:col>20</xdr:col>
          <xdr:colOff>752475</xdr:colOff>
          <xdr:row>45</xdr:row>
          <xdr:rowOff>0</xdr:rowOff>
        </xdr:to>
        <xdr:sp macro="" textlink="">
          <xdr:nvSpPr>
            <xdr:cNvPr id="1077" name="Drop Dow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28</xdr:row>
          <xdr:rowOff>38100</xdr:rowOff>
        </xdr:from>
        <xdr:to>
          <xdr:col>20</xdr:col>
          <xdr:colOff>752475</xdr:colOff>
          <xdr:row>29</xdr:row>
          <xdr:rowOff>0</xdr:rowOff>
        </xdr:to>
        <xdr:sp macro="" textlink="">
          <xdr:nvSpPr>
            <xdr:cNvPr id="1445" name="Drop Down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30</xdr:row>
          <xdr:rowOff>47625</xdr:rowOff>
        </xdr:from>
        <xdr:to>
          <xdr:col>20</xdr:col>
          <xdr:colOff>752475</xdr:colOff>
          <xdr:row>31</xdr:row>
          <xdr:rowOff>0</xdr:rowOff>
        </xdr:to>
        <xdr:sp macro="" textlink="">
          <xdr:nvSpPr>
            <xdr:cNvPr id="1449" name="Drop Dow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26</xdr:row>
          <xdr:rowOff>47625</xdr:rowOff>
        </xdr:from>
        <xdr:to>
          <xdr:col>20</xdr:col>
          <xdr:colOff>752475</xdr:colOff>
          <xdr:row>27</xdr:row>
          <xdr:rowOff>0</xdr:rowOff>
        </xdr:to>
        <xdr:sp macro="" textlink="">
          <xdr:nvSpPr>
            <xdr:cNvPr id="1473" name="Drop Down 449" hidden="1">
              <a:extLst>
                <a:ext uri="{63B3BB69-23CF-44E3-9099-C40C66FF867C}">
                  <a14:compatExt spid="_x0000_s1473"/>
                </a:ext>
                <a:ext uri="{FF2B5EF4-FFF2-40B4-BE49-F238E27FC236}">
                  <a16:creationId xmlns:a16="http://schemas.microsoft.com/office/drawing/2014/main" id="{00000000-0008-0000-0000-0000C1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32</xdr:row>
          <xdr:rowOff>38100</xdr:rowOff>
        </xdr:from>
        <xdr:to>
          <xdr:col>22</xdr:col>
          <xdr:colOff>762000</xdr:colOff>
          <xdr:row>33</xdr:row>
          <xdr:rowOff>0</xdr:rowOff>
        </xdr:to>
        <xdr:sp macro="" textlink="">
          <xdr:nvSpPr>
            <xdr:cNvPr id="1054" name="Drop Down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34</xdr:row>
          <xdr:rowOff>38100</xdr:rowOff>
        </xdr:from>
        <xdr:to>
          <xdr:col>22</xdr:col>
          <xdr:colOff>762000</xdr:colOff>
          <xdr:row>35</xdr:row>
          <xdr:rowOff>0</xdr:rowOff>
        </xdr:to>
        <xdr:sp macro="" textlink="">
          <xdr:nvSpPr>
            <xdr:cNvPr id="1058" name="Drop Dow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36</xdr:row>
          <xdr:rowOff>38100</xdr:rowOff>
        </xdr:from>
        <xdr:to>
          <xdr:col>22</xdr:col>
          <xdr:colOff>762000</xdr:colOff>
          <xdr:row>37</xdr:row>
          <xdr:rowOff>0</xdr:rowOff>
        </xdr:to>
        <xdr:sp macro="" textlink="">
          <xdr:nvSpPr>
            <xdr:cNvPr id="1062" name="Drop Dow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38</xdr:row>
          <xdr:rowOff>38100</xdr:rowOff>
        </xdr:from>
        <xdr:to>
          <xdr:col>22</xdr:col>
          <xdr:colOff>752475</xdr:colOff>
          <xdr:row>39</xdr:row>
          <xdr:rowOff>0</xdr:rowOff>
        </xdr:to>
        <xdr:sp macro="" textlink="">
          <xdr:nvSpPr>
            <xdr:cNvPr id="1066" name="Drop Dow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40</xdr:row>
          <xdr:rowOff>47625</xdr:rowOff>
        </xdr:from>
        <xdr:to>
          <xdr:col>22</xdr:col>
          <xdr:colOff>762000</xdr:colOff>
          <xdr:row>41</xdr:row>
          <xdr:rowOff>0</xdr:rowOff>
        </xdr:to>
        <xdr:sp macro="" textlink="">
          <xdr:nvSpPr>
            <xdr:cNvPr id="1070" name="Drop Dow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42</xdr:row>
          <xdr:rowOff>38100</xdr:rowOff>
        </xdr:from>
        <xdr:to>
          <xdr:col>22</xdr:col>
          <xdr:colOff>762000</xdr:colOff>
          <xdr:row>43</xdr:row>
          <xdr:rowOff>0</xdr:rowOff>
        </xdr:to>
        <xdr:sp macro="" textlink="">
          <xdr:nvSpPr>
            <xdr:cNvPr id="1074" name="Drop Dow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44</xdr:row>
          <xdr:rowOff>47625</xdr:rowOff>
        </xdr:from>
        <xdr:to>
          <xdr:col>22</xdr:col>
          <xdr:colOff>762000</xdr:colOff>
          <xdr:row>45</xdr:row>
          <xdr:rowOff>0</xdr:rowOff>
        </xdr:to>
        <xdr:sp macro="" textlink="">
          <xdr:nvSpPr>
            <xdr:cNvPr id="1078" name="Drop Down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28</xdr:row>
          <xdr:rowOff>38100</xdr:rowOff>
        </xdr:from>
        <xdr:to>
          <xdr:col>22</xdr:col>
          <xdr:colOff>762000</xdr:colOff>
          <xdr:row>29</xdr:row>
          <xdr:rowOff>0</xdr:rowOff>
        </xdr:to>
        <xdr:sp macro="" textlink="">
          <xdr:nvSpPr>
            <xdr:cNvPr id="1446" name="Drop Down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30</xdr:row>
          <xdr:rowOff>47625</xdr:rowOff>
        </xdr:from>
        <xdr:to>
          <xdr:col>22</xdr:col>
          <xdr:colOff>762000</xdr:colOff>
          <xdr:row>31</xdr:row>
          <xdr:rowOff>0</xdr:rowOff>
        </xdr:to>
        <xdr:sp macro="" textlink="">
          <xdr:nvSpPr>
            <xdr:cNvPr id="1450" name="Drop Dow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26</xdr:row>
          <xdr:rowOff>47625</xdr:rowOff>
        </xdr:from>
        <xdr:to>
          <xdr:col>22</xdr:col>
          <xdr:colOff>762000</xdr:colOff>
          <xdr:row>27</xdr:row>
          <xdr:rowOff>0</xdr:rowOff>
        </xdr:to>
        <xdr:sp macro="" textlink="">
          <xdr:nvSpPr>
            <xdr:cNvPr id="1474" name="Drop Down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733425</xdr:colOff>
          <xdr:row>12</xdr:row>
          <xdr:rowOff>161925</xdr:rowOff>
        </xdr:from>
        <xdr:to>
          <xdr:col>25</xdr:col>
          <xdr:colOff>123825</xdr:colOff>
          <xdr:row>13</xdr:row>
          <xdr:rowOff>190500</xdr:rowOff>
        </xdr:to>
        <xdr:sp macro="" textlink="">
          <xdr:nvSpPr>
            <xdr:cNvPr id="1477" name="Drop Dow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22</xdr:row>
          <xdr:rowOff>9525</xdr:rowOff>
        </xdr:from>
        <xdr:to>
          <xdr:col>17</xdr:col>
          <xdr:colOff>276225</xdr:colOff>
          <xdr:row>22</xdr:row>
          <xdr:rowOff>209550</xdr:rowOff>
        </xdr:to>
        <xdr:sp macro="" textlink="">
          <xdr:nvSpPr>
            <xdr:cNvPr id="1488" name="Drop Down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8</xdr:row>
          <xdr:rowOff>171450</xdr:rowOff>
        </xdr:from>
        <xdr:to>
          <xdr:col>27</xdr:col>
          <xdr:colOff>38100</xdr:colOff>
          <xdr:row>10</xdr:row>
          <xdr:rowOff>28575</xdr:rowOff>
        </xdr:to>
        <xdr:sp macro="" textlink="">
          <xdr:nvSpPr>
            <xdr:cNvPr id="1546" name="Drop Down 522" hidden="1">
              <a:extLst>
                <a:ext uri="{63B3BB69-23CF-44E3-9099-C40C66FF867C}">
                  <a14:compatExt spid="_x0000_s1546"/>
                </a:ext>
                <a:ext uri="{FF2B5EF4-FFF2-40B4-BE49-F238E27FC236}">
                  <a16:creationId xmlns:a16="http://schemas.microsoft.com/office/drawing/2014/main" id="{00000000-0008-0000-0000-00000A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10</xdr:row>
          <xdr:rowOff>123825</xdr:rowOff>
        </xdr:from>
        <xdr:to>
          <xdr:col>26</xdr:col>
          <xdr:colOff>685800</xdr:colOff>
          <xdr:row>11</xdr:row>
          <xdr:rowOff>104775</xdr:rowOff>
        </xdr:to>
        <xdr:sp macro="" textlink="">
          <xdr:nvSpPr>
            <xdr:cNvPr id="1553" name="Drop Down 529" hidden="1">
              <a:extLst>
                <a:ext uri="{63B3BB69-23CF-44E3-9099-C40C66FF867C}">
                  <a14:compatExt spid="_x0000_s1553"/>
                </a:ext>
                <a:ext uri="{FF2B5EF4-FFF2-40B4-BE49-F238E27FC236}">
                  <a16:creationId xmlns:a16="http://schemas.microsoft.com/office/drawing/2014/main" id="{00000000-0008-0000-0000-000011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46</xdr:row>
          <xdr:rowOff>47625</xdr:rowOff>
        </xdr:from>
        <xdr:to>
          <xdr:col>18</xdr:col>
          <xdr:colOff>752475</xdr:colOff>
          <xdr:row>47</xdr:row>
          <xdr:rowOff>0</xdr:rowOff>
        </xdr:to>
        <xdr:sp macro="" textlink="">
          <xdr:nvSpPr>
            <xdr:cNvPr id="1554" name="Drop Down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46</xdr:row>
          <xdr:rowOff>47625</xdr:rowOff>
        </xdr:from>
        <xdr:to>
          <xdr:col>20</xdr:col>
          <xdr:colOff>752475</xdr:colOff>
          <xdr:row>47</xdr:row>
          <xdr:rowOff>0</xdr:rowOff>
        </xdr:to>
        <xdr:sp macro="" textlink="">
          <xdr:nvSpPr>
            <xdr:cNvPr id="1555" name="Drop Down 531" hidden="1">
              <a:extLst>
                <a:ext uri="{63B3BB69-23CF-44E3-9099-C40C66FF867C}">
                  <a14:compatExt spid="_x0000_s1555"/>
                </a:ext>
                <a:ext uri="{FF2B5EF4-FFF2-40B4-BE49-F238E27FC236}">
                  <a16:creationId xmlns:a16="http://schemas.microsoft.com/office/drawing/2014/main" id="{00000000-0008-0000-0000-000013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46</xdr:row>
          <xdr:rowOff>47625</xdr:rowOff>
        </xdr:from>
        <xdr:to>
          <xdr:col>22</xdr:col>
          <xdr:colOff>762000</xdr:colOff>
          <xdr:row>47</xdr:row>
          <xdr:rowOff>0</xdr:rowOff>
        </xdr:to>
        <xdr:sp macro="" textlink="">
          <xdr:nvSpPr>
            <xdr:cNvPr id="1556" name="Drop Down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46</xdr:row>
          <xdr:rowOff>47625</xdr:rowOff>
        </xdr:from>
        <xdr:to>
          <xdr:col>24</xdr:col>
          <xdr:colOff>762000</xdr:colOff>
          <xdr:row>47</xdr:row>
          <xdr:rowOff>0</xdr:rowOff>
        </xdr:to>
        <xdr:sp macro="" textlink="">
          <xdr:nvSpPr>
            <xdr:cNvPr id="1557" name="Drop Dow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76200</xdr:colOff>
          <xdr:row>48</xdr:row>
          <xdr:rowOff>47625</xdr:rowOff>
        </xdr:from>
        <xdr:to>
          <xdr:col>18</xdr:col>
          <xdr:colOff>752475</xdr:colOff>
          <xdr:row>49</xdr:row>
          <xdr:rowOff>0</xdr:rowOff>
        </xdr:to>
        <xdr:sp macro="" textlink="">
          <xdr:nvSpPr>
            <xdr:cNvPr id="1558" name="Drop Dow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76200</xdr:colOff>
          <xdr:row>48</xdr:row>
          <xdr:rowOff>47625</xdr:rowOff>
        </xdr:from>
        <xdr:to>
          <xdr:col>20</xdr:col>
          <xdr:colOff>752475</xdr:colOff>
          <xdr:row>49</xdr:row>
          <xdr:rowOff>0</xdr:rowOff>
        </xdr:to>
        <xdr:sp macro="" textlink="">
          <xdr:nvSpPr>
            <xdr:cNvPr id="1559" name="Drop Down 535" hidden="1">
              <a:extLst>
                <a:ext uri="{63B3BB69-23CF-44E3-9099-C40C66FF867C}">
                  <a14:compatExt spid="_x0000_s1559"/>
                </a:ext>
                <a:ext uri="{FF2B5EF4-FFF2-40B4-BE49-F238E27FC236}">
                  <a16:creationId xmlns:a16="http://schemas.microsoft.com/office/drawing/2014/main" id="{00000000-0008-0000-0000-000017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85725</xdr:colOff>
          <xdr:row>48</xdr:row>
          <xdr:rowOff>47625</xdr:rowOff>
        </xdr:from>
        <xdr:to>
          <xdr:col>22</xdr:col>
          <xdr:colOff>762000</xdr:colOff>
          <xdr:row>49</xdr:row>
          <xdr:rowOff>0</xdr:rowOff>
        </xdr:to>
        <xdr:sp macro="" textlink="">
          <xdr:nvSpPr>
            <xdr:cNvPr id="1560" name="Drop Down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85725</xdr:colOff>
          <xdr:row>48</xdr:row>
          <xdr:rowOff>47625</xdr:rowOff>
        </xdr:from>
        <xdr:to>
          <xdr:col>24</xdr:col>
          <xdr:colOff>762000</xdr:colOff>
          <xdr:row>49</xdr:row>
          <xdr:rowOff>0</xdr:rowOff>
        </xdr:to>
        <xdr:sp macro="" textlink="">
          <xdr:nvSpPr>
            <xdr:cNvPr id="1561" name="Drop Down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8</xdr:col>
      <xdr:colOff>571500</xdr:colOff>
      <xdr:row>67</xdr:row>
      <xdr:rowOff>152400</xdr:rowOff>
    </xdr:from>
    <xdr:to>
      <xdr:col>10</xdr:col>
      <xdr:colOff>619125</xdr:colOff>
      <xdr:row>68</xdr:row>
      <xdr:rowOff>152400</xdr:rowOff>
    </xdr:to>
    <xdr:cxnSp macro="">
      <xdr:nvCxnSpPr>
        <xdr:cNvPr id="3" name="直線矢印コネクタ 2">
          <a:extLst>
            <a:ext uri="{FF2B5EF4-FFF2-40B4-BE49-F238E27FC236}">
              <a16:creationId xmlns:a16="http://schemas.microsoft.com/office/drawing/2014/main" id="{00000000-0008-0000-0500-000003000000}"/>
            </a:ext>
          </a:extLst>
        </xdr:cNvPr>
        <xdr:cNvCxnSpPr/>
      </xdr:nvCxnSpPr>
      <xdr:spPr>
        <a:xfrm flipV="1">
          <a:off x="7048500" y="11668125"/>
          <a:ext cx="1419225" cy="1714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457200</xdr:colOff>
      <xdr:row>16</xdr:row>
      <xdr:rowOff>76200</xdr:rowOff>
    </xdr:from>
    <xdr:to>
      <xdr:col>17</xdr:col>
      <xdr:colOff>676275</xdr:colOff>
      <xdr:row>17</xdr:row>
      <xdr:rowOff>0</xdr:rowOff>
    </xdr:to>
    <xdr:sp macro="" textlink="">
      <xdr:nvSpPr>
        <xdr:cNvPr id="8" name="右矢印 7">
          <a:extLst>
            <a:ext uri="{FF2B5EF4-FFF2-40B4-BE49-F238E27FC236}">
              <a16:creationId xmlns:a16="http://schemas.microsoft.com/office/drawing/2014/main" id="{00000000-0008-0000-0900-000008000000}"/>
            </a:ext>
          </a:extLst>
        </xdr:cNvPr>
        <xdr:cNvSpPr/>
      </xdr:nvSpPr>
      <xdr:spPr>
        <a:xfrm>
          <a:off x="12115800" y="2819400"/>
          <a:ext cx="219075" cy="95250"/>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clientData/>
  </xdr:twoCellAnchor>
  <xdr:twoCellAnchor>
    <xdr:from>
      <xdr:col>19</xdr:col>
      <xdr:colOff>28575</xdr:colOff>
      <xdr:row>37</xdr:row>
      <xdr:rowOff>152400</xdr:rowOff>
    </xdr:from>
    <xdr:to>
      <xdr:col>19</xdr:col>
      <xdr:colOff>247650</xdr:colOff>
      <xdr:row>38</xdr:row>
      <xdr:rowOff>76200</xdr:rowOff>
    </xdr:to>
    <xdr:sp macro="" textlink="">
      <xdr:nvSpPr>
        <xdr:cNvPr id="9" name="右矢印 8">
          <a:extLst>
            <a:ext uri="{FF2B5EF4-FFF2-40B4-BE49-F238E27FC236}">
              <a16:creationId xmlns:a16="http://schemas.microsoft.com/office/drawing/2014/main" id="{00000000-0008-0000-0900-000009000000}"/>
            </a:ext>
          </a:extLst>
        </xdr:cNvPr>
        <xdr:cNvSpPr/>
      </xdr:nvSpPr>
      <xdr:spPr>
        <a:xfrm>
          <a:off x="13058775" y="6496050"/>
          <a:ext cx="219075" cy="95250"/>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clientData/>
  </xdr:twoCellAnchor>
  <xdr:oneCellAnchor>
    <xdr:from>
      <xdr:col>18</xdr:col>
      <xdr:colOff>447675</xdr:colOff>
      <xdr:row>37</xdr:row>
      <xdr:rowOff>85725</xdr:rowOff>
    </xdr:from>
    <xdr:ext cx="325730" cy="275717"/>
    <xdr:sp macro="" textlink="">
      <xdr:nvSpPr>
        <xdr:cNvPr id="13" name="テキスト ボックス 12">
          <a:extLst>
            <a:ext uri="{FF2B5EF4-FFF2-40B4-BE49-F238E27FC236}">
              <a16:creationId xmlns:a16="http://schemas.microsoft.com/office/drawing/2014/main" id="{00000000-0008-0000-0900-00000D000000}"/>
            </a:ext>
          </a:extLst>
        </xdr:cNvPr>
        <xdr:cNvSpPr txBox="1"/>
      </xdr:nvSpPr>
      <xdr:spPr>
        <a:xfrm>
          <a:off x="12792075" y="64293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C00000"/>
              </a:solidFill>
            </a:rPr>
            <a:t>③</a:t>
          </a:r>
        </a:p>
      </xdr:txBody>
    </xdr:sp>
    <xdr:clientData/>
  </xdr:oneCellAnchor>
  <xdr:twoCellAnchor>
    <xdr:from>
      <xdr:col>3</xdr:col>
      <xdr:colOff>647700</xdr:colOff>
      <xdr:row>14</xdr:row>
      <xdr:rowOff>19050</xdr:rowOff>
    </xdr:from>
    <xdr:to>
      <xdr:col>6</xdr:col>
      <xdr:colOff>0</xdr:colOff>
      <xdr:row>20</xdr:row>
      <xdr:rowOff>104775</xdr:rowOff>
    </xdr:to>
    <xdr:grpSp>
      <xdr:nvGrpSpPr>
        <xdr:cNvPr id="20" name="グループ化 19">
          <a:extLst>
            <a:ext uri="{FF2B5EF4-FFF2-40B4-BE49-F238E27FC236}">
              <a16:creationId xmlns:a16="http://schemas.microsoft.com/office/drawing/2014/main" id="{00000000-0008-0000-0900-000014000000}"/>
            </a:ext>
          </a:extLst>
        </xdr:cNvPr>
        <xdr:cNvGrpSpPr/>
      </xdr:nvGrpSpPr>
      <xdr:grpSpPr>
        <a:xfrm>
          <a:off x="2705100" y="2457450"/>
          <a:ext cx="1409700" cy="1114425"/>
          <a:chOff x="2705100" y="2447925"/>
          <a:chExt cx="1409700" cy="1114425"/>
        </a:xfrm>
      </xdr:grpSpPr>
      <xdr:pic>
        <xdr:nvPicPr>
          <xdr:cNvPr id="2" name="図 1" descr="A.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2933700" y="2447925"/>
            <a:ext cx="1181100" cy="1114425"/>
          </a:xfrm>
          <a:prstGeom prst="rect">
            <a:avLst/>
          </a:prstGeom>
        </xdr:spPr>
      </xdr:pic>
      <xdr:sp macro="" textlink="">
        <xdr:nvSpPr>
          <xdr:cNvPr id="3" name="右矢印 2">
            <a:extLst>
              <a:ext uri="{FF2B5EF4-FFF2-40B4-BE49-F238E27FC236}">
                <a16:creationId xmlns:a16="http://schemas.microsoft.com/office/drawing/2014/main" id="{00000000-0008-0000-0900-000003000000}"/>
              </a:ext>
            </a:extLst>
          </xdr:cNvPr>
          <xdr:cNvSpPr/>
        </xdr:nvSpPr>
        <xdr:spPr>
          <a:xfrm>
            <a:off x="2790825" y="2762250"/>
            <a:ext cx="381000" cy="161925"/>
          </a:xfrm>
          <a:prstGeom prst="rightArrow">
            <a:avLst/>
          </a:prstGeom>
          <a:solidFill>
            <a:schemeClr val="accent2"/>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900-00000E000000}"/>
              </a:ext>
            </a:extLst>
          </xdr:cNvPr>
          <xdr:cNvSpPr txBox="1"/>
        </xdr:nvSpPr>
        <xdr:spPr>
          <a:xfrm>
            <a:off x="2705100" y="25812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C00000"/>
                </a:solidFill>
              </a:rPr>
              <a:t>④</a:t>
            </a:r>
          </a:p>
        </xdr:txBody>
      </xdr:sp>
    </xdr:grpSp>
    <xdr:clientData/>
  </xdr:twoCellAnchor>
  <xdr:twoCellAnchor>
    <xdr:from>
      <xdr:col>2</xdr:col>
      <xdr:colOff>381001</xdr:colOff>
      <xdr:row>22</xdr:row>
      <xdr:rowOff>9525</xdr:rowOff>
    </xdr:from>
    <xdr:to>
      <xdr:col>8</xdr:col>
      <xdr:colOff>495301</xdr:colOff>
      <xdr:row>43</xdr:row>
      <xdr:rowOff>37476</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1752601" y="3819525"/>
          <a:ext cx="4229100" cy="3628401"/>
          <a:chOff x="1752601" y="3810000"/>
          <a:chExt cx="4229100" cy="3628401"/>
        </a:xfrm>
      </xdr:grpSpPr>
      <xdr:pic>
        <xdr:nvPicPr>
          <xdr:cNvPr id="4" name="図 3" descr="エクセルｵﾌﾟｼｮﾝ - コピー.jp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cstate="print"/>
          <a:stretch>
            <a:fillRect/>
          </a:stretch>
        </xdr:blipFill>
        <xdr:spPr>
          <a:xfrm>
            <a:off x="2343151" y="3810000"/>
            <a:ext cx="3638550" cy="3628401"/>
          </a:xfrm>
          <a:prstGeom prst="rect">
            <a:avLst/>
          </a:prstGeom>
        </xdr:spPr>
      </xdr:pic>
      <xdr:cxnSp macro="">
        <xdr:nvCxnSpPr>
          <xdr:cNvPr id="6" name="カギ線コネクタ 5">
            <a:extLst>
              <a:ext uri="{FF2B5EF4-FFF2-40B4-BE49-F238E27FC236}">
                <a16:creationId xmlns:a16="http://schemas.microsoft.com/office/drawing/2014/main" id="{00000000-0008-0000-0900-000006000000}"/>
              </a:ext>
            </a:extLst>
          </xdr:cNvPr>
          <xdr:cNvCxnSpPr/>
        </xdr:nvCxnSpPr>
        <xdr:spPr>
          <a:xfrm rot="16200000" flipH="1">
            <a:off x="1338264" y="4224338"/>
            <a:ext cx="2362201" cy="1533527"/>
          </a:xfrm>
          <a:prstGeom prst="bentConnector3">
            <a:avLst>
              <a:gd name="adj1" fmla="val 100000"/>
            </a:avLst>
          </a:prstGeom>
          <a:ln w="44450">
            <a:solidFill>
              <a:srgbClr val="FF505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900-00000F000000}"/>
              </a:ext>
            </a:extLst>
          </xdr:cNvPr>
          <xdr:cNvSpPr txBox="1"/>
        </xdr:nvSpPr>
        <xdr:spPr>
          <a:xfrm>
            <a:off x="1943100" y="58769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C00000"/>
                </a:solidFill>
              </a:rPr>
              <a:t>⑤</a:t>
            </a:r>
          </a:p>
        </xdr:txBody>
      </xdr:sp>
    </xdr:grpSp>
    <xdr:clientData/>
  </xdr:twoCellAnchor>
  <xdr:twoCellAnchor>
    <xdr:from>
      <xdr:col>12</xdr:col>
      <xdr:colOff>257175</xdr:colOff>
      <xdr:row>11</xdr:row>
      <xdr:rowOff>57150</xdr:rowOff>
    </xdr:from>
    <xdr:to>
      <xdr:col>21</xdr:col>
      <xdr:colOff>338470</xdr:colOff>
      <xdr:row>39</xdr:row>
      <xdr:rowOff>47625</xdr:rowOff>
    </xdr:to>
    <xdr:grpSp>
      <xdr:nvGrpSpPr>
        <xdr:cNvPr id="27" name="グループ化 26">
          <a:extLst>
            <a:ext uri="{FF2B5EF4-FFF2-40B4-BE49-F238E27FC236}">
              <a16:creationId xmlns:a16="http://schemas.microsoft.com/office/drawing/2014/main" id="{00000000-0008-0000-0900-00001B000000}"/>
            </a:ext>
          </a:extLst>
        </xdr:cNvPr>
        <xdr:cNvGrpSpPr/>
      </xdr:nvGrpSpPr>
      <xdr:grpSpPr>
        <a:xfrm>
          <a:off x="8486775" y="1981200"/>
          <a:ext cx="6253495" cy="4791075"/>
          <a:chOff x="8486775" y="1971675"/>
          <a:chExt cx="6253495" cy="4791075"/>
        </a:xfrm>
      </xdr:grpSpPr>
      <xdr:pic>
        <xdr:nvPicPr>
          <xdr:cNvPr id="10" name="図 9" descr="ekuseru3.jpg">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3" cstate="print"/>
          <a:stretch>
            <a:fillRect/>
          </a:stretch>
        </xdr:blipFill>
        <xdr:spPr>
          <a:xfrm>
            <a:off x="8886826" y="1971675"/>
            <a:ext cx="5853444" cy="4791075"/>
          </a:xfrm>
          <a:prstGeom prst="rect">
            <a:avLst/>
          </a:prstGeom>
        </xdr:spPr>
      </xdr:pic>
      <xdr:sp macro="" textlink="">
        <xdr:nvSpPr>
          <xdr:cNvPr id="7" name="右矢印 6">
            <a:extLst>
              <a:ext uri="{FF2B5EF4-FFF2-40B4-BE49-F238E27FC236}">
                <a16:creationId xmlns:a16="http://schemas.microsoft.com/office/drawing/2014/main" id="{00000000-0008-0000-0900-000007000000}"/>
              </a:ext>
            </a:extLst>
          </xdr:cNvPr>
          <xdr:cNvSpPr/>
        </xdr:nvSpPr>
        <xdr:spPr>
          <a:xfrm>
            <a:off x="8753474" y="2466975"/>
            <a:ext cx="295275" cy="152400"/>
          </a:xfrm>
          <a:prstGeom prst="rightArrow">
            <a:avLst/>
          </a:prstGeom>
          <a:ln>
            <a:solidFill>
              <a:srgbClr val="FFFF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8486775" y="2409825"/>
            <a:ext cx="33855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200" b="1">
                <a:solidFill>
                  <a:srgbClr val="C00000"/>
                </a:solidFill>
              </a:rPr>
              <a:t>①</a:t>
            </a:r>
          </a:p>
        </xdr:txBody>
      </xdr:sp>
      <xdr:sp macro="" textlink="">
        <xdr:nvSpPr>
          <xdr:cNvPr id="12" name="テキスト ボックス 11">
            <a:extLst>
              <a:ext uri="{FF2B5EF4-FFF2-40B4-BE49-F238E27FC236}">
                <a16:creationId xmlns:a16="http://schemas.microsoft.com/office/drawing/2014/main" id="{00000000-0008-0000-0900-00000C000000}"/>
              </a:ext>
            </a:extLst>
          </xdr:cNvPr>
          <xdr:cNvSpPr txBox="1"/>
        </xdr:nvSpPr>
        <xdr:spPr>
          <a:xfrm>
            <a:off x="11782425" y="27527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b="1">
                <a:solidFill>
                  <a:srgbClr val="C00000"/>
                </a:solidFill>
              </a:rPr>
              <a:t>②</a:t>
            </a:r>
          </a:p>
        </xdr:txBody>
      </xdr:sp>
      <xdr:sp macro="" textlink="">
        <xdr:nvSpPr>
          <xdr:cNvPr id="23" name="右矢印 22">
            <a:extLst>
              <a:ext uri="{FF2B5EF4-FFF2-40B4-BE49-F238E27FC236}">
                <a16:creationId xmlns:a16="http://schemas.microsoft.com/office/drawing/2014/main" id="{00000000-0008-0000-0900-000017000000}"/>
              </a:ext>
            </a:extLst>
          </xdr:cNvPr>
          <xdr:cNvSpPr/>
        </xdr:nvSpPr>
        <xdr:spPr>
          <a:xfrm>
            <a:off x="12039599" y="2819400"/>
            <a:ext cx="295275" cy="152400"/>
          </a:xfrm>
          <a:prstGeom prst="rightArrow">
            <a:avLst/>
          </a:prstGeom>
          <a:ln>
            <a:solidFill>
              <a:srgbClr val="FFFF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sp macro="" textlink="">
        <xdr:nvSpPr>
          <xdr:cNvPr id="25" name="右矢印 24">
            <a:extLst>
              <a:ext uri="{FF2B5EF4-FFF2-40B4-BE49-F238E27FC236}">
                <a16:creationId xmlns:a16="http://schemas.microsoft.com/office/drawing/2014/main" id="{00000000-0008-0000-0900-000019000000}"/>
              </a:ext>
            </a:extLst>
          </xdr:cNvPr>
          <xdr:cNvSpPr/>
        </xdr:nvSpPr>
        <xdr:spPr>
          <a:xfrm>
            <a:off x="12992099" y="6467475"/>
            <a:ext cx="295275" cy="152400"/>
          </a:xfrm>
          <a:prstGeom prst="rightArrow">
            <a:avLst/>
          </a:prstGeom>
          <a:ln>
            <a:solidFill>
              <a:srgbClr val="FFFF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900-00001A000000}"/>
              </a:ext>
            </a:extLst>
          </xdr:cNvPr>
          <xdr:cNvSpPr txBox="1"/>
        </xdr:nvSpPr>
        <xdr:spPr>
          <a:xfrm>
            <a:off x="12706350" y="64103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FF0000"/>
                </a:solidFill>
              </a:rPr>
              <a:t>③</a:t>
            </a:r>
          </a:p>
        </xdr:txBody>
      </xdr:sp>
    </xdr:grpSp>
    <xdr:clientData/>
  </xdr:twoCellAnchor>
  <xdr:twoCellAnchor editAs="oneCell">
    <xdr:from>
      <xdr:col>8</xdr:col>
      <xdr:colOff>28575</xdr:colOff>
      <xdr:row>51</xdr:row>
      <xdr:rowOff>57150</xdr:rowOff>
    </xdr:from>
    <xdr:to>
      <xdr:col>12</xdr:col>
      <xdr:colOff>628650</xdr:colOff>
      <xdr:row>73</xdr:row>
      <xdr:rowOff>76200</xdr:rowOff>
    </xdr:to>
    <xdr:pic>
      <xdr:nvPicPr>
        <xdr:cNvPr id="22" name="図 21" descr="K無題.jpg">
          <a:extLst>
            <a:ext uri="{FF2B5EF4-FFF2-40B4-BE49-F238E27FC236}">
              <a16:creationId xmlns:a16="http://schemas.microsoft.com/office/drawing/2014/main" id="{00000000-0008-0000-0900-000016000000}"/>
            </a:ext>
          </a:extLst>
        </xdr:cNvPr>
        <xdr:cNvPicPr>
          <a:picLocks noChangeAspect="1"/>
        </xdr:cNvPicPr>
      </xdr:nvPicPr>
      <xdr:blipFill>
        <a:blip xmlns:r="http://schemas.openxmlformats.org/officeDocument/2006/relationships" r:embed="rId4" cstate="print"/>
        <a:stretch>
          <a:fillRect/>
        </a:stretch>
      </xdr:blipFill>
      <xdr:spPr>
        <a:xfrm>
          <a:off x="5514975" y="9001125"/>
          <a:ext cx="3343275" cy="3790950"/>
        </a:xfrm>
        <a:prstGeom prst="rect">
          <a:avLst/>
        </a:prstGeom>
      </xdr:spPr>
    </xdr:pic>
    <xdr:clientData/>
  </xdr:twoCellAnchor>
  <xdr:twoCellAnchor>
    <xdr:from>
      <xdr:col>11</xdr:col>
      <xdr:colOff>161925</xdr:colOff>
      <xdr:row>51</xdr:row>
      <xdr:rowOff>142875</xdr:rowOff>
    </xdr:from>
    <xdr:to>
      <xdr:col>11</xdr:col>
      <xdr:colOff>457200</xdr:colOff>
      <xdr:row>52</xdr:row>
      <xdr:rowOff>123825</xdr:rowOff>
    </xdr:to>
    <xdr:sp macro="" textlink="">
      <xdr:nvSpPr>
        <xdr:cNvPr id="29" name="右矢印 28">
          <a:extLst>
            <a:ext uri="{FF2B5EF4-FFF2-40B4-BE49-F238E27FC236}">
              <a16:creationId xmlns:a16="http://schemas.microsoft.com/office/drawing/2014/main" id="{00000000-0008-0000-0900-00001D000000}"/>
            </a:ext>
          </a:extLst>
        </xdr:cNvPr>
        <xdr:cNvSpPr/>
      </xdr:nvSpPr>
      <xdr:spPr>
        <a:xfrm rot="10800000">
          <a:off x="7705725" y="9086850"/>
          <a:ext cx="295275" cy="152400"/>
        </a:xfrm>
        <a:prstGeom prst="rightArrow">
          <a:avLst/>
        </a:prstGeom>
        <a:ln>
          <a:solidFill>
            <a:srgbClr val="FFFF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pPr algn="ctr"/>
          <a:endParaRPr kumimoji="1" lang="ja-JP" altLang="en-US" sz="1100"/>
        </a:p>
      </xdr:txBody>
    </xdr:sp>
    <xdr:clientData/>
  </xdr:twoCellAnchor>
  <xdr:oneCellAnchor>
    <xdr:from>
      <xdr:col>11</xdr:col>
      <xdr:colOff>447675</xdr:colOff>
      <xdr:row>51</xdr:row>
      <xdr:rowOff>85725</xdr:rowOff>
    </xdr:from>
    <xdr:ext cx="325730" cy="275717"/>
    <xdr:sp macro="" textlink="">
      <xdr:nvSpPr>
        <xdr:cNvPr id="30" name="テキスト ボックス 29">
          <a:extLst>
            <a:ext uri="{FF2B5EF4-FFF2-40B4-BE49-F238E27FC236}">
              <a16:creationId xmlns:a16="http://schemas.microsoft.com/office/drawing/2014/main" id="{00000000-0008-0000-0900-00001E000000}"/>
            </a:ext>
          </a:extLst>
        </xdr:cNvPr>
        <xdr:cNvSpPr txBox="1"/>
      </xdr:nvSpPr>
      <xdr:spPr>
        <a:xfrm>
          <a:off x="7991475" y="90297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b="1">
              <a:solidFill>
                <a:srgbClr val="FF0000"/>
              </a:solidFill>
            </a:rPr>
            <a:t>⑥</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xdr:col>
      <xdr:colOff>6372225</xdr:colOff>
      <xdr:row>0</xdr:row>
      <xdr:rowOff>57150</xdr:rowOff>
    </xdr:from>
    <xdr:to>
      <xdr:col>14</xdr:col>
      <xdr:colOff>295275</xdr:colOff>
      <xdr:row>10</xdr:row>
      <xdr:rowOff>76200</xdr:rowOff>
    </xdr:to>
    <xdr:sp macro="" textlink="">
      <xdr:nvSpPr>
        <xdr:cNvPr id="2" name="角丸四角形 1">
          <a:extLst>
            <a:ext uri="{FF2B5EF4-FFF2-40B4-BE49-F238E27FC236}">
              <a16:creationId xmlns:a16="http://schemas.microsoft.com/office/drawing/2014/main" id="{00000000-0008-0000-0A00-000002000000}"/>
            </a:ext>
          </a:extLst>
        </xdr:cNvPr>
        <xdr:cNvSpPr/>
      </xdr:nvSpPr>
      <xdr:spPr>
        <a:xfrm>
          <a:off x="9867900" y="57150"/>
          <a:ext cx="4038600" cy="18669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oneCellAnchor>
    <xdr:from>
      <xdr:col>7</xdr:col>
      <xdr:colOff>371475</xdr:colOff>
      <xdr:row>3</xdr:row>
      <xdr:rowOff>152400</xdr:rowOff>
    </xdr:from>
    <xdr:ext cx="494366" cy="242374"/>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0248900" y="781050"/>
          <a:ext cx="494366"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t>入力１</a:t>
          </a:r>
        </a:p>
      </xdr:txBody>
    </xdr:sp>
    <xdr:clientData/>
  </xdr:oneCellAnchor>
  <xdr:oneCellAnchor>
    <xdr:from>
      <xdr:col>7</xdr:col>
      <xdr:colOff>381000</xdr:colOff>
      <xdr:row>6</xdr:row>
      <xdr:rowOff>133350</xdr:rowOff>
    </xdr:from>
    <xdr:ext cx="494366" cy="242374"/>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0258425" y="1285875"/>
          <a:ext cx="494366"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t>入力２</a:t>
          </a:r>
        </a:p>
      </xdr:txBody>
    </xdr:sp>
    <xdr:clientData/>
  </xdr:oneCellAnchor>
  <xdr:oneCellAnchor>
    <xdr:from>
      <xdr:col>7</xdr:col>
      <xdr:colOff>276225</xdr:colOff>
      <xdr:row>1</xdr:row>
      <xdr:rowOff>19050</xdr:rowOff>
    </xdr:from>
    <xdr:ext cx="1209675" cy="275717"/>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10153650" y="304800"/>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1"/>
            <a:t>組合せ表入力</a:t>
          </a:r>
        </a:p>
      </xdr:txBody>
    </xdr:sp>
    <xdr:clientData/>
  </xdr:oneCellAnchor>
  <xdr:oneCellAnchor>
    <xdr:from>
      <xdr:col>9</xdr:col>
      <xdr:colOff>276224</xdr:colOff>
      <xdr:row>1</xdr:row>
      <xdr:rowOff>19050</xdr:rowOff>
    </xdr:from>
    <xdr:ext cx="847725" cy="275717"/>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1525249" y="304800"/>
          <a:ext cx="8477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1"/>
            <a:t>名簿ﾘｽﾄ</a:t>
          </a:r>
        </a:p>
      </xdr:txBody>
    </xdr:sp>
    <xdr:clientData/>
  </xdr:oneCellAnchor>
  <xdr:oneCellAnchor>
    <xdr:from>
      <xdr:col>12</xdr:col>
      <xdr:colOff>9524</xdr:colOff>
      <xdr:row>0</xdr:row>
      <xdr:rowOff>123824</xdr:rowOff>
    </xdr:from>
    <xdr:ext cx="1619251" cy="523875"/>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12401549" y="123824"/>
          <a:ext cx="1619251" cy="523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1"/>
            <a:t>指定されたｾﾙ</a:t>
          </a:r>
          <a:endParaRPr kumimoji="1" lang="en-US" altLang="ja-JP" sz="1100" b="1"/>
        </a:p>
        <a:p>
          <a:r>
            <a:rPr kumimoji="1" lang="ja-JP" altLang="en-US" sz="1100" b="1"/>
            <a:t>（ｴｸｾﾙ上の入力ﾃﾞｰﾀ）</a:t>
          </a:r>
        </a:p>
      </xdr:txBody>
    </xdr:sp>
    <xdr:clientData/>
  </xdr:oneCellAnchor>
  <mc:AlternateContent xmlns:mc="http://schemas.openxmlformats.org/markup-compatibility/2006">
    <mc:Choice xmlns:a14="http://schemas.microsoft.com/office/drawing/2010/main" Requires="a14">
      <xdr:twoCellAnchor editAs="oneCell">
        <xdr:from>
          <xdr:col>7</xdr:col>
          <xdr:colOff>476250</xdr:colOff>
          <xdr:row>5</xdr:row>
          <xdr:rowOff>9525</xdr:rowOff>
        </xdr:from>
        <xdr:to>
          <xdr:col>8</xdr:col>
          <xdr:colOff>571500</xdr:colOff>
          <xdr:row>6</xdr:row>
          <xdr:rowOff>66675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A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8</xdr:row>
          <xdr:rowOff>9525</xdr:rowOff>
        </xdr:from>
        <xdr:to>
          <xdr:col>8</xdr:col>
          <xdr:colOff>571500</xdr:colOff>
          <xdr:row>9</xdr:row>
          <xdr:rowOff>66675</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A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53.xml"/><Relationship Id="rId2" Type="http://schemas.openxmlformats.org/officeDocument/2006/relationships/vmlDrawing" Target="../drawings/vmlDrawing2.vml"/><Relationship Id="rId1" Type="http://schemas.openxmlformats.org/officeDocument/2006/relationships/drawing" Target="../drawings/drawing4.xml"/><Relationship Id="rId4" Type="http://schemas.openxmlformats.org/officeDocument/2006/relationships/ctrlProp" Target="../ctrlProps/ctrlProp5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L138"/>
  <sheetViews>
    <sheetView tabSelected="1" zoomScaleNormal="100" workbookViewId="0">
      <selection activeCell="L31" sqref="L31"/>
    </sheetView>
  </sheetViews>
  <sheetFormatPr defaultColWidth="9" defaultRowHeight="13.5" x14ac:dyDescent="0.15"/>
  <cols>
    <col min="1" max="1" width="8.25" style="23" customWidth="1"/>
    <col min="2" max="6" width="2.875" style="23" hidden="1" customWidth="1"/>
    <col min="7" max="7" width="6.625" style="23" customWidth="1"/>
    <col min="8" max="8" width="3.125" style="23" customWidth="1"/>
    <col min="9" max="9" width="6.625" style="23" customWidth="1"/>
    <col min="10" max="10" width="3.125" style="23" customWidth="1"/>
    <col min="11" max="11" width="6.625" style="23" customWidth="1"/>
    <col min="12" max="12" width="3.125" style="23" customWidth="1"/>
    <col min="13" max="13" width="3.375" style="23" customWidth="1"/>
    <col min="14" max="14" width="5" style="23" customWidth="1"/>
    <col min="15" max="15" width="6.75" style="23" customWidth="1"/>
    <col min="16" max="16" width="11.125" style="23" customWidth="1"/>
    <col min="17" max="17" width="8.625" style="96" customWidth="1"/>
    <col min="18" max="18" width="5.625" style="96" customWidth="1"/>
    <col min="19" max="19" width="10.75" style="23" customWidth="1"/>
    <col min="20" max="20" width="5.5" style="23" customWidth="1"/>
    <col min="21" max="21" width="10.75" style="23" customWidth="1"/>
    <col min="22" max="22" width="6.375" style="23" customWidth="1"/>
    <col min="23" max="23" width="10.75" style="96" customWidth="1"/>
    <col min="24" max="24" width="5.625" style="96" customWidth="1"/>
    <col min="25" max="25" width="10.75" style="96" customWidth="1"/>
    <col min="26" max="26" width="3.625" style="23" customWidth="1"/>
    <col min="27" max="27" width="10.125" style="23" customWidth="1"/>
    <col min="28" max="28" width="6.25" style="96" customWidth="1"/>
    <col min="29" max="29" width="10.75" style="23" customWidth="1"/>
    <col min="30" max="30" width="3.625" style="23" customWidth="1"/>
    <col min="31" max="33" width="6.125" style="96" customWidth="1"/>
    <col min="34" max="36" width="6.125" style="23" customWidth="1"/>
    <col min="37" max="37" width="8.75" style="23" customWidth="1"/>
    <col min="38" max="39" width="6.125" style="23" customWidth="1"/>
    <col min="40" max="40" width="7.875" style="23" customWidth="1"/>
    <col min="41" max="41" width="11.75" style="23" customWidth="1"/>
    <col min="42" max="42" width="16" style="23" customWidth="1"/>
    <col min="43" max="43" width="9" style="23" customWidth="1"/>
    <col min="44" max="44" width="2.5" style="23" hidden="1" customWidth="1"/>
    <col min="45" max="45" width="5.5" style="23" hidden="1" customWidth="1"/>
    <col min="46" max="46" width="51.375" style="23" hidden="1" customWidth="1"/>
    <col min="47" max="47" width="4.875" style="23" hidden="1" customWidth="1"/>
    <col min="48" max="48" width="5" style="23" hidden="1" customWidth="1"/>
    <col min="49" max="49" width="7.25" style="23" hidden="1" customWidth="1"/>
    <col min="50" max="50" width="6.625" style="95" hidden="1" customWidth="1"/>
    <col min="51" max="62" width="6.5" style="23" hidden="1" customWidth="1"/>
    <col min="63" max="67" width="6.5" style="96" hidden="1" customWidth="1"/>
    <col min="68" max="98" width="6.5" style="23" hidden="1" customWidth="1"/>
    <col min="99" max="106" width="9" style="23" hidden="1" customWidth="1"/>
    <col min="107" max="107" width="2.5" style="23" hidden="1" customWidth="1"/>
    <col min="108" max="108" width="2.25" style="23" customWidth="1"/>
    <col min="109" max="16384" width="9" style="23"/>
  </cols>
  <sheetData>
    <row r="1" spans="1:116" ht="53.25" customHeight="1" x14ac:dyDescent="0.15">
      <c r="A1" s="462"/>
      <c r="G1" s="462"/>
      <c r="I1" s="307" t="s">
        <v>89</v>
      </c>
      <c r="M1" s="96"/>
      <c r="N1" s="96"/>
      <c r="O1" s="100"/>
      <c r="P1" s="100"/>
      <c r="Q1" s="23"/>
      <c r="R1" s="23"/>
      <c r="S1" s="96"/>
      <c r="T1" s="96"/>
      <c r="Y1" s="26"/>
      <c r="Z1" s="111" t="s">
        <v>624</v>
      </c>
      <c r="AJ1" s="98"/>
      <c r="AQ1" s="261"/>
      <c r="AR1" s="261"/>
      <c r="AY1" s="23" t="s">
        <v>184</v>
      </c>
      <c r="AZ1" s="23" t="s">
        <v>185</v>
      </c>
      <c r="DC1" s="261"/>
      <c r="DD1" s="261"/>
    </row>
    <row r="2" spans="1:116" ht="22.5" customHeight="1" x14ac:dyDescent="0.15">
      <c r="B2" s="138" t="s">
        <v>554</v>
      </c>
      <c r="C2" s="559"/>
      <c r="D2" s="138"/>
      <c r="E2" s="138"/>
      <c r="F2" s="138"/>
      <c r="G2" s="564" t="s">
        <v>584</v>
      </c>
      <c r="H2" s="251"/>
      <c r="I2" s="561"/>
      <c r="J2" s="561"/>
      <c r="K2" s="561"/>
      <c r="L2" s="251"/>
      <c r="M2" s="251"/>
      <c r="N2" s="251"/>
      <c r="P2" s="23" t="s">
        <v>547</v>
      </c>
      <c r="Q2" s="23"/>
      <c r="S2" s="96"/>
      <c r="T2" s="100"/>
      <c r="U2" s="100"/>
      <c r="W2" s="23"/>
      <c r="AJ2" s="98"/>
      <c r="AQ2" s="261"/>
      <c r="AR2" s="261"/>
      <c r="CE2" s="247" t="s">
        <v>224</v>
      </c>
      <c r="CF2" s="247"/>
      <c r="CG2" s="248"/>
      <c r="CH2" s="247"/>
      <c r="CI2" s="247"/>
      <c r="CJ2" s="247"/>
      <c r="CK2" s="247"/>
      <c r="CL2" s="247"/>
      <c r="CM2" s="247"/>
      <c r="CN2" s="247"/>
      <c r="CO2" s="247" t="s">
        <v>470</v>
      </c>
      <c r="CP2" s="247"/>
      <c r="CQ2" s="247"/>
      <c r="CR2" s="247"/>
      <c r="CS2" s="247"/>
      <c r="CT2" s="249"/>
      <c r="DC2" s="261"/>
      <c r="DD2" s="261"/>
    </row>
    <row r="3" spans="1:116" ht="21.75" customHeight="1" x14ac:dyDescent="0.15">
      <c r="A3" s="138"/>
      <c r="B3" s="138" t="s">
        <v>555</v>
      </c>
      <c r="C3" s="138"/>
      <c r="D3" s="140" t="s">
        <v>556</v>
      </c>
      <c r="E3" s="138"/>
      <c r="F3" s="138"/>
      <c r="G3" s="564" t="s">
        <v>583</v>
      </c>
      <c r="H3" s="561"/>
      <c r="I3" s="561"/>
      <c r="J3" s="561"/>
      <c r="K3" s="561"/>
      <c r="L3" s="251"/>
      <c r="M3" s="251"/>
      <c r="N3" s="251"/>
      <c r="P3" s="165" t="s">
        <v>580</v>
      </c>
      <c r="R3" s="23"/>
      <c r="X3" s="111" t="s">
        <v>567</v>
      </c>
      <c r="AK3" s="138"/>
      <c r="AM3" s="228"/>
      <c r="AR3" s="261"/>
      <c r="AT3" s="264" t="s">
        <v>233</v>
      </c>
      <c r="AZ3" s="162" t="s">
        <v>186</v>
      </c>
      <c r="BR3" s="99" t="s">
        <v>474</v>
      </c>
      <c r="BZ3" s="26"/>
      <c r="CO3" s="23" t="s">
        <v>515</v>
      </c>
      <c r="DC3" s="261"/>
    </row>
    <row r="4" spans="1:116" ht="20.25" customHeight="1" x14ac:dyDescent="0.15">
      <c r="A4" s="138"/>
      <c r="B4" s="138"/>
      <c r="C4" s="138"/>
      <c r="D4" s="138"/>
      <c r="E4" s="138"/>
      <c r="F4" s="138"/>
      <c r="G4" s="565" t="s">
        <v>581</v>
      </c>
      <c r="H4" s="561"/>
      <c r="I4" s="562"/>
      <c r="J4" s="563"/>
      <c r="K4" s="561"/>
      <c r="L4" s="251"/>
      <c r="M4" s="251"/>
      <c r="N4" s="251"/>
      <c r="P4" s="165"/>
      <c r="Q4" s="23" t="s">
        <v>530</v>
      </c>
      <c r="R4" s="23"/>
      <c r="X4" s="308" t="s">
        <v>527</v>
      </c>
      <c r="AB4" s="23"/>
      <c r="AD4" s="242" t="s">
        <v>280</v>
      </c>
      <c r="AK4" s="138"/>
      <c r="AM4" s="228"/>
      <c r="AR4" s="261"/>
      <c r="AT4" s="264"/>
      <c r="AZ4" s="162"/>
      <c r="BZ4" s="26"/>
      <c r="DC4" s="261"/>
    </row>
    <row r="5" spans="1:116" ht="15.75" customHeight="1" thickBot="1" x14ac:dyDescent="0.2">
      <c r="A5" s="138"/>
      <c r="B5" s="138"/>
      <c r="C5" s="138"/>
      <c r="D5" s="138"/>
      <c r="E5" s="138"/>
      <c r="F5" s="138"/>
      <c r="G5" s="565" t="s">
        <v>582</v>
      </c>
      <c r="H5" s="561"/>
      <c r="I5" s="561"/>
      <c r="J5" s="561"/>
      <c r="K5" s="561"/>
      <c r="L5" s="251"/>
      <c r="M5" s="251"/>
      <c r="N5" s="251"/>
      <c r="P5" s="23" t="s">
        <v>659</v>
      </c>
      <c r="R5" s="23"/>
      <c r="V5" s="96"/>
      <c r="AR5" s="261"/>
      <c r="AZ5" s="160"/>
      <c r="CQ5" s="111" t="s">
        <v>411</v>
      </c>
      <c r="CV5" s="23" t="s">
        <v>469</v>
      </c>
      <c r="DC5" s="261"/>
    </row>
    <row r="6" spans="1:116" ht="16.5" customHeight="1" thickBot="1" x14ac:dyDescent="0.2">
      <c r="G6" s="565"/>
      <c r="H6" s="251" t="s">
        <v>585</v>
      </c>
      <c r="I6" s="566"/>
      <c r="J6" s="566"/>
      <c r="K6" s="566"/>
      <c r="L6" s="251"/>
      <c r="M6" s="251"/>
      <c r="N6" s="251"/>
      <c r="P6" s="23" t="s">
        <v>546</v>
      </c>
      <c r="R6" s="23"/>
      <c r="V6" s="96"/>
      <c r="AI6" s="98"/>
      <c r="AJ6" s="98"/>
      <c r="AK6" s="98"/>
      <c r="AN6" s="98"/>
      <c r="AR6" s="261"/>
      <c r="AS6" s="316">
        <v>1</v>
      </c>
      <c r="AT6" s="320" t="s">
        <v>285</v>
      </c>
      <c r="AZ6" s="160"/>
      <c r="BD6" s="96"/>
      <c r="BG6" s="96"/>
      <c r="BH6" s="96"/>
      <c r="BL6" s="23"/>
      <c r="BM6" s="23"/>
      <c r="BP6" s="96"/>
      <c r="BR6" s="179" t="s">
        <v>121</v>
      </c>
      <c r="BW6" s="167"/>
      <c r="BX6" s="168"/>
      <c r="BY6" s="166"/>
      <c r="BZ6" s="163"/>
      <c r="CG6" s="95"/>
      <c r="CP6" s="546" t="e">
        <f>IF(AND($CM$36&gt;50,$CM$62=0,$CX$78=0),1,IF(AND($CM$36=0,$CM$62&gt;50,$CX$78=0),2,IF(AND($CM$36=0,$CM$62=0,$CX$78&gt;50),4,IF(AND($CM$36=0,$CM$62=0,$CX$78=0),5,3))))</f>
        <v>#VALUE!</v>
      </c>
      <c r="CQ6" s="111" t="s">
        <v>412</v>
      </c>
      <c r="CT6" s="96"/>
      <c r="CU6" s="96"/>
      <c r="CV6" s="96"/>
      <c r="CW6" s="95" t="s">
        <v>415</v>
      </c>
      <c r="CX6" s="302">
        <f>COUNT(CJ13:CM13)+COUNT(CJ15:CM15)+COUNT(CJ39:CM39)+COUNT(CJ41:CM41)</f>
        <v>0</v>
      </c>
      <c r="DC6" s="261"/>
    </row>
    <row r="7" spans="1:116" ht="16.5" customHeight="1" x14ac:dyDescent="0.15">
      <c r="J7" s="96"/>
      <c r="P7" s="165" t="s">
        <v>528</v>
      </c>
      <c r="R7" s="23"/>
      <c r="W7" s="23"/>
      <c r="X7" s="23"/>
      <c r="Y7" s="23"/>
      <c r="AB7" s="23"/>
      <c r="AR7" s="261"/>
      <c r="AS7" s="317">
        <v>3</v>
      </c>
      <c r="AT7" s="320" t="s">
        <v>522</v>
      </c>
      <c r="AZ7" s="96" t="s">
        <v>119</v>
      </c>
      <c r="BA7" s="96"/>
      <c r="BF7" s="23" t="s">
        <v>202</v>
      </c>
      <c r="BL7" s="23" t="s">
        <v>120</v>
      </c>
      <c r="BM7" s="23"/>
      <c r="BN7" s="23"/>
      <c r="BO7" s="23"/>
      <c r="BP7" s="96"/>
      <c r="BR7" s="179" t="s">
        <v>162</v>
      </c>
      <c r="BW7" s="167"/>
      <c r="BX7" s="168"/>
      <c r="BY7" s="96"/>
      <c r="BZ7" s="163"/>
      <c r="CG7" s="95"/>
      <c r="CQ7" s="111" t="s">
        <v>413</v>
      </c>
      <c r="CT7" s="96"/>
      <c r="CU7" s="96"/>
      <c r="CV7" s="96"/>
      <c r="CW7" s="96"/>
      <c r="CX7" s="96"/>
      <c r="DC7" s="261"/>
    </row>
    <row r="8" spans="1:116" ht="15.75" customHeight="1" x14ac:dyDescent="0.15">
      <c r="N8" s="96"/>
      <c r="O8" s="96"/>
      <c r="P8" s="165"/>
      <c r="Q8" s="23"/>
      <c r="R8" s="23"/>
      <c r="W8" s="23"/>
      <c r="X8" s="23"/>
      <c r="Y8" s="23"/>
      <c r="AB8" s="23"/>
      <c r="AE8" s="242"/>
      <c r="AF8" s="23"/>
      <c r="AG8" s="23"/>
      <c r="AI8" s="96"/>
      <c r="AL8" s="96"/>
      <c r="AM8" s="96"/>
      <c r="AO8" s="165"/>
      <c r="AP8" s="165"/>
      <c r="AR8" s="261"/>
      <c r="AS8" s="317">
        <v>2</v>
      </c>
      <c r="AT8" s="320" t="s">
        <v>579</v>
      </c>
      <c r="AY8" s="96"/>
      <c r="AZ8" s="162" t="s">
        <v>160</v>
      </c>
      <c r="BA8" s="96"/>
      <c r="BF8" s="23" t="s">
        <v>77</v>
      </c>
      <c r="BL8" s="23" t="s">
        <v>161</v>
      </c>
      <c r="BM8" s="23"/>
      <c r="BN8" s="23"/>
      <c r="BO8" s="23"/>
      <c r="BP8" s="96"/>
      <c r="BR8" s="179" t="s">
        <v>206</v>
      </c>
      <c r="BW8" s="167"/>
      <c r="BX8" s="168"/>
      <c r="BY8" s="166"/>
      <c r="BZ8" s="163"/>
      <c r="CQ8" s="111" t="s">
        <v>520</v>
      </c>
      <c r="CU8" s="96"/>
      <c r="CV8" s="96"/>
      <c r="CW8" s="96"/>
      <c r="CX8" s="96"/>
      <c r="DC8" s="261"/>
    </row>
    <row r="9" spans="1:116" ht="15.75" customHeight="1" x14ac:dyDescent="0.15">
      <c r="N9" s="96"/>
      <c r="O9" s="134"/>
      <c r="P9" s="96"/>
      <c r="Q9" s="162"/>
      <c r="R9" s="162"/>
      <c r="W9" s="23"/>
      <c r="X9" s="23"/>
      <c r="Y9" s="23"/>
      <c r="AB9" s="23"/>
      <c r="AE9" s="23"/>
      <c r="AF9" s="23"/>
      <c r="AG9" s="23"/>
      <c r="AI9" s="96"/>
      <c r="AL9" s="96"/>
      <c r="AM9" s="96"/>
      <c r="AP9" s="96"/>
      <c r="AR9" s="261"/>
      <c r="AS9" s="317">
        <v>5</v>
      </c>
      <c r="AT9" s="320" t="s">
        <v>286</v>
      </c>
      <c r="AY9" s="96"/>
      <c r="AZ9" s="162" t="s">
        <v>159</v>
      </c>
      <c r="BA9" s="96"/>
      <c r="BF9" s="23" t="s">
        <v>203</v>
      </c>
      <c r="BL9" s="179" t="s">
        <v>165</v>
      </c>
      <c r="BM9" s="23"/>
      <c r="BN9" s="23"/>
      <c r="BO9" s="23"/>
      <c r="BP9" s="96"/>
      <c r="BR9" s="179" t="s">
        <v>207</v>
      </c>
      <c r="BW9" s="167"/>
      <c r="BX9" s="168"/>
      <c r="BY9" s="96"/>
      <c r="BZ9" s="163"/>
      <c r="CG9" s="95"/>
      <c r="CJ9" s="23" t="s">
        <v>414</v>
      </c>
      <c r="CQ9" s="111" t="s">
        <v>513</v>
      </c>
      <c r="CS9" s="23" t="s">
        <v>268</v>
      </c>
      <c r="CT9" s="554">
        <f>IF(シート⑤成績表!$R$3&gt;=1,シート⑤成績表!$R$3,Q20)</f>
        <v>0</v>
      </c>
      <c r="CU9" s="165" t="s">
        <v>519</v>
      </c>
      <c r="CV9" s="96"/>
      <c r="CW9" s="96"/>
      <c r="CX9" s="96"/>
      <c r="DC9" s="261"/>
    </row>
    <row r="10" spans="1:116" ht="15.75" customHeight="1" x14ac:dyDescent="0.15">
      <c r="N10" s="96"/>
      <c r="O10" s="96"/>
      <c r="P10" s="96"/>
      <c r="Q10" s="23"/>
      <c r="R10" s="23"/>
      <c r="W10" s="23"/>
      <c r="X10" s="23"/>
      <c r="Y10" s="23"/>
      <c r="AB10" s="23"/>
      <c r="AE10" s="23"/>
      <c r="AF10" s="23"/>
      <c r="AG10" s="23"/>
      <c r="AI10" s="96"/>
      <c r="AL10" s="96"/>
      <c r="AN10"/>
      <c r="AP10"/>
      <c r="AR10" s="261"/>
      <c r="AS10" s="317">
        <v>1</v>
      </c>
      <c r="AT10" s="533" t="str">
        <f>IF($AZ$48=0,"(5) 組内の並べ方整備（年齢順等）をしました。","(5)　　★(5)は選択しないでください－「並べ方整備」はｼｰﾄ②～④で行われています★")</f>
        <v>(5) 組内の並べ方整備（年齢順等）をしました。</v>
      </c>
      <c r="AY10" s="96"/>
      <c r="BA10" s="96"/>
      <c r="BF10" s="23" t="s">
        <v>204</v>
      </c>
      <c r="BL10" s="179" t="s">
        <v>205</v>
      </c>
      <c r="BM10" s="179"/>
      <c r="BN10" s="23"/>
      <c r="BO10" s="23"/>
      <c r="BP10" s="96"/>
      <c r="BR10" s="179" t="s">
        <v>163</v>
      </c>
      <c r="BW10" s="167"/>
      <c r="BX10" s="168"/>
      <c r="BY10" s="166"/>
      <c r="BZ10" s="163"/>
      <c r="CE10" s="23" t="s">
        <v>221</v>
      </c>
      <c r="CG10" s="95"/>
      <c r="CJ10" s="23" t="s">
        <v>222</v>
      </c>
      <c r="CP10" s="23" t="s">
        <v>223</v>
      </c>
      <c r="CS10" s="241" t="s">
        <v>514</v>
      </c>
      <c r="CT10" s="251"/>
      <c r="CU10" s="96"/>
      <c r="CV10" s="96"/>
      <c r="CW10" s="96"/>
      <c r="CX10" s="96"/>
      <c r="DC10" s="261"/>
    </row>
    <row r="11" spans="1:116" ht="16.5" customHeight="1" thickBot="1" x14ac:dyDescent="0.2">
      <c r="N11" s="96"/>
      <c r="O11" s="96"/>
      <c r="P11" s="162"/>
      <c r="Q11" s="23"/>
      <c r="R11" s="23"/>
      <c r="W11" s="23"/>
      <c r="X11" s="23"/>
      <c r="Y11" s="23"/>
      <c r="AB11" s="23"/>
      <c r="AE11" s="23"/>
      <c r="AF11" s="23"/>
      <c r="AG11" s="23"/>
      <c r="AI11" s="96"/>
      <c r="AL11" s="96"/>
      <c r="AN11"/>
      <c r="AO11"/>
      <c r="AP11"/>
      <c r="AR11" s="261"/>
      <c r="AS11" s="203">
        <v>4</v>
      </c>
      <c r="AT11" s="321" t="s">
        <v>476</v>
      </c>
      <c r="AY11" s="96"/>
      <c r="BL11" s="23"/>
      <c r="BM11" s="23"/>
      <c r="BN11" s="23"/>
      <c r="BO11" s="23"/>
      <c r="BP11" s="96"/>
      <c r="BX11" s="95"/>
      <c r="BY11" s="166"/>
      <c r="BZ11" s="163"/>
      <c r="CG11" s="95"/>
      <c r="CT11" s="250"/>
      <c r="CU11" s="163" t="s">
        <v>511</v>
      </c>
      <c r="CV11" s="273" t="s">
        <v>247</v>
      </c>
      <c r="CW11" s="96"/>
      <c r="CX11" s="96" t="s">
        <v>510</v>
      </c>
      <c r="DC11" s="261"/>
    </row>
    <row r="12" spans="1:116" ht="16.5" customHeight="1" x14ac:dyDescent="0.15">
      <c r="N12" s="96"/>
      <c r="O12" s="96"/>
      <c r="P12" s="96"/>
      <c r="Q12" s="23"/>
      <c r="R12" s="23"/>
      <c r="W12" s="23"/>
      <c r="X12" s="23"/>
      <c r="Y12" s="23"/>
      <c r="AB12" s="23"/>
      <c r="AE12" s="23"/>
      <c r="AF12" s="23"/>
      <c r="AG12" s="23"/>
      <c r="AI12" s="96"/>
      <c r="AL12" s="96"/>
      <c r="AM12"/>
      <c r="AN12"/>
      <c r="AR12" s="95"/>
      <c r="AY12" s="96"/>
      <c r="AZ12" s="310">
        <v>1</v>
      </c>
      <c r="BA12" s="310">
        <v>1</v>
      </c>
      <c r="BB12" s="310">
        <v>1</v>
      </c>
      <c r="BC12" s="311">
        <v>1</v>
      </c>
      <c r="BF12" s="310">
        <v>1</v>
      </c>
      <c r="BG12" s="310">
        <v>1</v>
      </c>
      <c r="BH12" s="310">
        <v>1</v>
      </c>
      <c r="BI12" s="311">
        <v>1</v>
      </c>
      <c r="BL12" s="528">
        <f>IF($BC$45=2,AZ12,IF($AW$45=1,AZ12,BL12))</f>
        <v>1</v>
      </c>
      <c r="BM12" s="528">
        <f t="shared" ref="BM12:BO12" si="0">IF($BC$45=2,BA12,IF($AW$45=1,BA12,BM12))</f>
        <v>1</v>
      </c>
      <c r="BN12" s="528">
        <f t="shared" si="0"/>
        <v>1</v>
      </c>
      <c r="BO12" s="528">
        <f t="shared" si="0"/>
        <v>1</v>
      </c>
      <c r="BP12" s="96"/>
      <c r="BR12" s="628" t="str">
        <f>IF(AZ12&gt;$BC$127,ROW(AZ12)+COLUMN(AZ12)/100,IF($BC$45=1,VLOOKUP(AZ12,○氏名ﾘｽﾄ,2,FALSE),VLOOKUP(AZ12,$BN$70:$BP$135,3,FALSE)))</f>
        <v xml:space="preserve"> --</v>
      </c>
      <c r="BS12" s="628" t="str">
        <f>IF(BA12&gt;$BC$127,ROW(BA12)+COLUMN(BA12)/100,IF($BC$45=1,VLOOKUP(BA12,○氏名ﾘｽﾄ,2,FALSE),VLOOKUP(BA12,$BN$70:$BP$135,3,FALSE)))</f>
        <v xml:space="preserve"> --</v>
      </c>
      <c r="BT12" s="628" t="str">
        <f>IF(BB12&gt;$BC$127,ROW(BB12)+COLUMN(BB12)/100,IF($BC$45=1,VLOOKUP(BB12,○氏名ﾘｽﾄ,2,FALSE),VLOOKUP(BB12,$BN$70:$BP$135,3,FALSE)))</f>
        <v xml:space="preserve"> --</v>
      </c>
      <c r="BU12" s="629" t="str">
        <f>IF(BC12&gt;$BC$127,ROW(BC12)+COLUMN(BC12)/100,IF($BC$45=1,VLOOKUP(BC12,○氏名ﾘｽﾄ,2,FALSE),VLOOKUP(BC12,$BN$70:$BP$135,3,FALSE)))</f>
        <v xml:space="preserve"> --</v>
      </c>
      <c r="BX12" s="195">
        <f>IF(AZ12&gt;$BC$127,ROW(AZ12)+COLUMN(AZ12)/100,AZ12)</f>
        <v>1</v>
      </c>
      <c r="BY12" s="195">
        <f>IF(BA12&gt;$BC$127,ROW(BA12)+COLUMN(BA12)/100,BA12)</f>
        <v>1</v>
      </c>
      <c r="BZ12" s="195">
        <f>IF(BB12&gt;$BC$127,ROW(BB12)+COLUMN(BB12)/100,BB12)</f>
        <v>1</v>
      </c>
      <c r="CA12" s="230">
        <f>IF(BC12&gt;$BC$127,ROW(BC12)+COLUMN(BC12)/100,BC12)</f>
        <v>1</v>
      </c>
      <c r="CE12" s="196">
        <f>AZ12</f>
        <v>1</v>
      </c>
      <c r="CF12" s="196">
        <f>BA12</f>
        <v>1</v>
      </c>
      <c r="CG12" s="196">
        <f>BB12</f>
        <v>1</v>
      </c>
      <c r="CH12" s="196">
        <f>BC12</f>
        <v>1</v>
      </c>
      <c r="CJ12" s="196" t="str">
        <f t="shared" ref="CJ12:CM12" si="1">VLOOKUP(CE12,$BN$70:$BS$135,6,FALSE)</f>
        <v xml:space="preserve"> --</v>
      </c>
      <c r="CK12" s="196" t="str">
        <f t="shared" si="1"/>
        <v xml:space="preserve"> --</v>
      </c>
      <c r="CL12" s="196" t="str">
        <f t="shared" si="1"/>
        <v xml:space="preserve"> --</v>
      </c>
      <c r="CM12" s="196" t="str">
        <f t="shared" si="1"/>
        <v xml:space="preserve"> --</v>
      </c>
      <c r="CO12" s="23">
        <v>1</v>
      </c>
      <c r="CP12" s="246" t="e">
        <f>IF($CP$6=1,CJ12,IF($CP$6=2,CJ38,""))</f>
        <v>#VALUE!</v>
      </c>
      <c r="CQ12" s="246" t="e">
        <f>IF($CP$6=1,CJ13,IF($CP$6=2,CJ39,""))</f>
        <v>#VALUE!</v>
      </c>
      <c r="CR12" s="183"/>
      <c r="CS12" s="246" t="str">
        <f>集計!B6</f>
        <v>安藤</v>
      </c>
      <c r="CT12" s="584" t="str">
        <f>IF(CS12="","",IF(ISNA(VLOOKUP(CS12,$CP$12:$CQ$59,2,FALSE)),"",VLOOKUP(CS12,$CP$12:$CQ$59,2,FALSE)))</f>
        <v/>
      </c>
      <c r="CU12" s="545" t="e">
        <f>IF($CP$6=4,CX12,CT12)</f>
        <v>#VALUE!</v>
      </c>
      <c r="CV12" s="585" t="str">
        <f>IF(ISNA(VLOOKUP(CS12,$CP$12:$CP$59,1,FALSE)),"",VLOOKUP(CS12,$CP$12:$CP$59,1,FALSE))</f>
        <v/>
      </c>
      <c r="CW12" s="96"/>
      <c r="CX12" s="545" t="e">
        <f>IF(INDEX(シート⑤成績表!$E$11:$W$75,ROW(CX12)-11,シート①入力画面!$CT$9)="","",INDEX(シート⑤成績表!$E$11:$W$75,ROW(CX12)-11,シート①入力画面!$CT$9))</f>
        <v>#VALUE!</v>
      </c>
      <c r="CZ12" s="183"/>
      <c r="DA12" s="183"/>
      <c r="DB12" s="183"/>
      <c r="DC12" s="265"/>
    </row>
    <row r="13" spans="1:116" ht="16.5" customHeight="1" thickBot="1" x14ac:dyDescent="0.2">
      <c r="N13" s="96"/>
      <c r="O13" s="96"/>
      <c r="P13" s="96"/>
      <c r="Q13" s="23"/>
      <c r="R13" s="23"/>
      <c r="W13" s="23"/>
      <c r="X13" s="23"/>
      <c r="Y13" s="161"/>
      <c r="AB13" s="23"/>
      <c r="AE13" s="23"/>
      <c r="AF13" s="23"/>
      <c r="AG13" s="23"/>
      <c r="AI13" s="96"/>
      <c r="AL13" s="96"/>
      <c r="AM13"/>
      <c r="AN13"/>
      <c r="AR13" s="95"/>
      <c r="AY13" s="96"/>
      <c r="AZ13" s="490"/>
      <c r="BA13" s="491"/>
      <c r="BB13" s="491"/>
      <c r="BC13" s="492"/>
      <c r="BF13" s="490"/>
      <c r="BG13" s="491"/>
      <c r="BH13" s="491"/>
      <c r="BI13" s="492"/>
      <c r="BL13" s="528"/>
      <c r="BM13" s="522"/>
      <c r="BN13" s="522"/>
      <c r="BO13" s="529"/>
      <c r="BR13" s="630"/>
      <c r="BS13" s="603"/>
      <c r="BT13" s="603"/>
      <c r="BU13" s="631"/>
      <c r="BV13" s="167"/>
      <c r="BX13" s="231"/>
      <c r="BY13" s="96"/>
      <c r="BZ13" s="163"/>
      <c r="CA13" s="220"/>
      <c r="CE13" s="204"/>
      <c r="CF13" s="196"/>
      <c r="CG13" s="204"/>
      <c r="CH13" s="245"/>
      <c r="CJ13" s="196" t="str">
        <f>IF(S28="","",IF(S28=0,"",S28))</f>
        <v/>
      </c>
      <c r="CK13" s="196" t="str">
        <f>IF(U28="","",IF(U28=0,"",U28))</f>
        <v/>
      </c>
      <c r="CL13" s="196" t="str">
        <f>IF(W28="","",IF(W28=0,"",W28))</f>
        <v/>
      </c>
      <c r="CM13" s="196" t="str">
        <f>IF(Y28="","",IF(Y28=0,"",Y28))</f>
        <v/>
      </c>
      <c r="CN13" s="316">
        <f>SUM(CJ13:CM13)</f>
        <v>0</v>
      </c>
      <c r="CO13" s="23">
        <f>1+CO12</f>
        <v>2</v>
      </c>
      <c r="CP13" s="246" t="e">
        <f>IF($CP$6=1,CK12,IF($CP$6=2,CK38,""))</f>
        <v>#VALUE!</v>
      </c>
      <c r="CQ13" s="246" t="e">
        <f>IF($CP$6=1,CK13,IF($CP$6=2,CK39,""))</f>
        <v>#VALUE!</v>
      </c>
      <c r="CR13" s="183"/>
      <c r="CS13" s="246" t="str">
        <f>集計!B7</f>
        <v>飯田</v>
      </c>
      <c r="CT13" s="584" t="str">
        <f t="shared" ref="CT13:CT76" si="2">IF(CS13="","",IF(ISNA(VLOOKUP(CS13,$CP$12:$CQ$59,2,FALSE)),"",VLOOKUP(CS13,$CP$12:$CQ$59,2,FALSE)))</f>
        <v/>
      </c>
      <c r="CU13" s="545" t="e">
        <f t="shared" ref="CU13:CU76" si="3">IF($CP$6=4,CX13,CT13)</f>
        <v>#VALUE!</v>
      </c>
      <c r="CV13" s="585" t="str">
        <f t="shared" ref="CV13:CV76" si="4">IF(ISNA(VLOOKUP(CS13,$CP$12:$CP$59,1,FALSE)),"",VLOOKUP(CS13,$CP$12:$CP$59,1,FALSE))</f>
        <v/>
      </c>
      <c r="CW13" s="96"/>
      <c r="CX13" s="545" t="e">
        <f>IF(INDEX(シート⑤成績表!$E$11:$W$75,ROW(CX13)-11,シート①入力画面!$CT$9)="","",INDEX(シート⑤成績表!$E$11:$W$75,ROW(CX13)-11,シート①入力画面!$CT$9))</f>
        <v>#VALUE!</v>
      </c>
      <c r="DC13" s="261"/>
    </row>
    <row r="14" spans="1:116" ht="16.5" customHeight="1" x14ac:dyDescent="0.15">
      <c r="N14" s="96"/>
      <c r="O14" s="96"/>
      <c r="P14" s="96"/>
      <c r="Q14" s="23"/>
      <c r="R14" s="23"/>
      <c r="V14" s="312"/>
      <c r="W14" s="23"/>
      <c r="X14" s="23"/>
      <c r="Y14" s="23"/>
      <c r="AB14" s="23"/>
      <c r="AE14" s="23"/>
      <c r="AF14" s="23"/>
      <c r="AG14" s="23"/>
      <c r="AI14" s="96"/>
      <c r="AL14" s="96"/>
      <c r="AN14"/>
      <c r="AR14" s="95"/>
      <c r="AS14" s="282" t="s">
        <v>235</v>
      </c>
      <c r="AT14" s="463" t="s">
        <v>264</v>
      </c>
      <c r="AY14" s="96"/>
      <c r="AZ14" s="310">
        <v>1</v>
      </c>
      <c r="BA14" s="310">
        <v>1</v>
      </c>
      <c r="BB14" s="310">
        <v>1</v>
      </c>
      <c r="BC14" s="311">
        <v>1</v>
      </c>
      <c r="BF14" s="310">
        <v>1</v>
      </c>
      <c r="BG14" s="310">
        <v>1</v>
      </c>
      <c r="BH14" s="310">
        <v>1</v>
      </c>
      <c r="BI14" s="311">
        <v>1</v>
      </c>
      <c r="BL14" s="528">
        <f>IF($BC$45=2,AZ14,IF($AW$45=1,AZ14,BL14))</f>
        <v>1</v>
      </c>
      <c r="BM14" s="528">
        <f t="shared" ref="BM14" si="5">IF($BC$45=2,BA14,IF($AW$45=1,BA14,BM14))</f>
        <v>1</v>
      </c>
      <c r="BN14" s="528">
        <f t="shared" ref="BN14" si="6">IF($BC$45=2,BB14,IF($AW$45=1,BB14,BN14))</f>
        <v>1</v>
      </c>
      <c r="BO14" s="528">
        <f t="shared" ref="BO14" si="7">IF($BC$45=2,BC14,IF($AW$45=1,BC14,BO14))</f>
        <v>1</v>
      </c>
      <c r="BR14" s="628" t="str">
        <f>IF(AZ14&gt;$BC$127,ROW(AZ14)+COLUMN(AZ14)/100,IF($BC$45=1,VLOOKUP(AZ14,○氏名ﾘｽﾄ,2,FALSE),VLOOKUP(AZ14,$BN$70:$BP$135,3,FALSE)))</f>
        <v xml:space="preserve"> --</v>
      </c>
      <c r="BS14" s="628" t="str">
        <f>IF(BA14&gt;$BC$127,ROW(BA14)+COLUMN(BA14)/100,IF($BC$45=1,VLOOKUP(BA14,○氏名ﾘｽﾄ,2,FALSE),VLOOKUP(BA14,$BN$70:$BP$135,3,FALSE)))</f>
        <v xml:space="preserve"> --</v>
      </c>
      <c r="BT14" s="628" t="str">
        <f>IF(BB14&gt;$BC$127,ROW(BB14)+COLUMN(BB14)/100,IF($BC$45=1,VLOOKUP(BB14,○氏名ﾘｽﾄ,2,FALSE),VLOOKUP(BB14,$BN$70:$BP$135,3,FALSE)))</f>
        <v xml:space="preserve"> --</v>
      </c>
      <c r="BU14" s="629" t="str">
        <f>IF(BC14&gt;$BC$127,ROW(BC14)+COLUMN(BC14)/100,IF($BC$45=1,VLOOKUP(BC14,○氏名ﾘｽﾄ,2,FALSE),VLOOKUP(BC14,$BN$70:$BP$135,3,FALSE)))</f>
        <v xml:space="preserve"> --</v>
      </c>
      <c r="BV14" s="167"/>
      <c r="BX14" s="195">
        <f>IF(AZ14&gt;$BC$127,ROW(AZ14)+COLUMN(AZ14)/100,AZ14)</f>
        <v>1</v>
      </c>
      <c r="BY14" s="195">
        <f>IF(BA14&gt;$BC$127,ROW(BA14)+COLUMN(BA14)/100,BA14)</f>
        <v>1</v>
      </c>
      <c r="BZ14" s="195">
        <f>IF(BB14&gt;$BC$127,ROW(BB14)+COLUMN(BB14)/100,BB14)</f>
        <v>1</v>
      </c>
      <c r="CA14" s="230">
        <f>IF(BC14&gt;$BC$127,ROW(BC14)+COLUMN(BC14)/100,BC14)</f>
        <v>1</v>
      </c>
      <c r="CE14" s="196">
        <f>AZ14</f>
        <v>1</v>
      </c>
      <c r="CF14" s="196">
        <f>BA14</f>
        <v>1</v>
      </c>
      <c r="CG14" s="196">
        <f>BB14</f>
        <v>1</v>
      </c>
      <c r="CH14" s="196">
        <f>BC14</f>
        <v>1</v>
      </c>
      <c r="CI14" s="96"/>
      <c r="CJ14" s="196" t="str">
        <f t="shared" ref="CJ14:CM14" si="8">VLOOKUP(CE14,$BN$70:$BS$135,6,FALSE)</f>
        <v xml:space="preserve"> --</v>
      </c>
      <c r="CK14" s="196" t="str">
        <f t="shared" si="8"/>
        <v xml:space="preserve"> --</v>
      </c>
      <c r="CL14" s="196" t="str">
        <f t="shared" si="8"/>
        <v xml:space="preserve"> --</v>
      </c>
      <c r="CM14" s="196" t="str">
        <f t="shared" si="8"/>
        <v xml:space="preserve"> --</v>
      </c>
      <c r="CN14" s="317"/>
      <c r="CO14" s="23">
        <f t="shared" ref="CO14:CO59" si="9">1+CO13</f>
        <v>3</v>
      </c>
      <c r="CP14" s="246" t="e">
        <f>IF($CP$6=1,CL12,IF($CP$6=2,CL38,""))</f>
        <v>#VALUE!</v>
      </c>
      <c r="CQ14" s="246" t="e">
        <f>IF($CP$6=1,CL13,IF($CP$6=2,CL39,""))</f>
        <v>#VALUE!</v>
      </c>
      <c r="CS14" s="246" t="str">
        <f>集計!B8</f>
        <v>五十嵐</v>
      </c>
      <c r="CT14" s="584" t="str">
        <f t="shared" si="2"/>
        <v/>
      </c>
      <c r="CU14" s="545" t="e">
        <f t="shared" si="3"/>
        <v>#VALUE!</v>
      </c>
      <c r="CV14" s="585" t="str">
        <f t="shared" si="4"/>
        <v/>
      </c>
      <c r="CX14" s="545" t="e">
        <f>IF(INDEX(シート⑤成績表!$E$11:$W$75,ROW(CX14)-11,シート①入力画面!$CT$9)="","",INDEX(シート⑤成績表!$E$11:$W$75,ROW(CX14)-11,シート①入力画面!$CT$9))</f>
        <v>#VALUE!</v>
      </c>
      <c r="DC14" s="265"/>
      <c r="DL14" s="160"/>
    </row>
    <row r="15" spans="1:116" ht="16.5" customHeight="1" thickBot="1" x14ac:dyDescent="0.2">
      <c r="N15" s="96"/>
      <c r="O15" s="96"/>
      <c r="Q15" s="179"/>
      <c r="R15" s="179"/>
      <c r="AE15" s="23"/>
      <c r="AF15" s="23"/>
      <c r="AG15" s="23"/>
      <c r="AI15" s="96"/>
      <c r="AL15" s="96"/>
      <c r="AR15" s="95"/>
      <c r="AS15" s="283"/>
      <c r="AT15" s="464" t="s">
        <v>282</v>
      </c>
      <c r="AY15" s="96"/>
      <c r="AZ15" s="490"/>
      <c r="BA15" s="491"/>
      <c r="BB15" s="491"/>
      <c r="BC15" s="492"/>
      <c r="BF15" s="490"/>
      <c r="BG15" s="491"/>
      <c r="BH15" s="491"/>
      <c r="BI15" s="492"/>
      <c r="BL15" s="173"/>
      <c r="BM15" s="196"/>
      <c r="BN15" s="196"/>
      <c r="BO15" s="197"/>
      <c r="BR15" s="630"/>
      <c r="BS15" s="603"/>
      <c r="BT15" s="603"/>
      <c r="BU15" s="631"/>
      <c r="BV15" s="167"/>
      <c r="BX15" s="231"/>
      <c r="BY15" s="96"/>
      <c r="BZ15" s="163"/>
      <c r="CA15" s="220"/>
      <c r="CE15" s="204"/>
      <c r="CF15" s="196"/>
      <c r="CG15" s="204"/>
      <c r="CH15" s="206"/>
      <c r="CI15" s="96"/>
      <c r="CJ15" s="196" t="str">
        <f>IF(S30="","",IF(S30=0,"",S30))</f>
        <v/>
      </c>
      <c r="CK15" s="196" t="str">
        <f>IF(U30="","",IF(U30=0,"",U30))</f>
        <v/>
      </c>
      <c r="CL15" s="196" t="str">
        <f>IF(W30="","",IF(W30=0,"",W30))</f>
        <v/>
      </c>
      <c r="CM15" s="196" t="str">
        <f>IF(Y30="","",IF(Y30=0,"",Y30))</f>
        <v/>
      </c>
      <c r="CN15" s="317">
        <f>SUM(CJ15:CM15)</f>
        <v>0</v>
      </c>
      <c r="CO15" s="23">
        <f t="shared" si="9"/>
        <v>4</v>
      </c>
      <c r="CP15" s="246" t="e">
        <f>IF($CP$6=1,CM12,IF($CP$6=2,CM38,""))</f>
        <v>#VALUE!</v>
      </c>
      <c r="CQ15" s="246" t="e">
        <f>IF($CP$6=1,CM13,IF($CP$6=2,CM39,""))</f>
        <v>#VALUE!</v>
      </c>
      <c r="CS15" s="246" t="str">
        <f>集計!B9</f>
        <v>市来</v>
      </c>
      <c r="CT15" s="584" t="str">
        <f t="shared" si="2"/>
        <v/>
      </c>
      <c r="CU15" s="545" t="e">
        <f t="shared" si="3"/>
        <v>#VALUE!</v>
      </c>
      <c r="CV15" s="585" t="str">
        <f t="shared" si="4"/>
        <v/>
      </c>
      <c r="CX15" s="545" t="e">
        <f>IF(INDEX(シート⑤成績表!$E$11:$W$75,ROW(CX15)-11,シート①入力画面!$CT$9)="","",INDEX(シート⑤成績表!$E$11:$W$75,ROW(CX15)-11,シート①入力画面!$CT$9))</f>
        <v>#VALUE!</v>
      </c>
      <c r="DC15" s="261"/>
      <c r="DL15" s="160"/>
    </row>
    <row r="16" spans="1:116" ht="16.5" customHeight="1" x14ac:dyDescent="0.15">
      <c r="N16" s="96"/>
      <c r="O16" s="96"/>
      <c r="Q16" s="210"/>
      <c r="R16" s="210"/>
      <c r="T16" s="312"/>
      <c r="U16" s="360" t="str">
        <f>IF($BA$36=2,IF($AZ$36=1,AT14,IF($AZ$36=2,AT21,IF($AZ$36=3,AT28,IF($AZ$36=4,AT35,IF($AZ$36=5,AT42,IF($AZ$36=6,AT49,"")))))),IF($AZ$36=1,AT66,IF($AZ$36=2,AT73,IF($AZ$36=3,AT80,"　　－－　ﾌﾟﾙﾀﾞｳﾝメニューの(1)(2)(3)を選択して下さい　－－"))))</f>
        <v xml:space="preserve">・「組合せ表」の（黄色）の部分の記入をして下さい </v>
      </c>
      <c r="V16" s="361"/>
      <c r="W16" s="361"/>
      <c r="X16" s="361"/>
      <c r="Y16" s="361"/>
      <c r="Z16" s="361"/>
      <c r="AA16" s="362"/>
      <c r="AE16" s="23"/>
      <c r="AF16" s="23"/>
      <c r="AG16" s="23"/>
      <c r="AI16" s="96"/>
      <c r="AL16" s="96"/>
      <c r="AM16" s="96"/>
      <c r="AR16" s="95"/>
      <c r="AS16" s="281"/>
      <c r="AT16" s="464" t="s">
        <v>283</v>
      </c>
      <c r="AY16" s="96"/>
      <c r="AZ16" s="310">
        <v>1</v>
      </c>
      <c r="BA16" s="310">
        <v>1</v>
      </c>
      <c r="BB16" s="310">
        <v>1</v>
      </c>
      <c r="BC16" s="311">
        <v>1</v>
      </c>
      <c r="BF16" s="310">
        <v>1</v>
      </c>
      <c r="BG16" s="310">
        <v>1</v>
      </c>
      <c r="BH16" s="310">
        <v>1</v>
      </c>
      <c r="BI16" s="311">
        <v>1</v>
      </c>
      <c r="BL16" s="528">
        <f>IF($BC$45=2,AZ16,IF($AW$45=1,AZ16,BL16))</f>
        <v>1</v>
      </c>
      <c r="BM16" s="528">
        <f t="shared" ref="BM16" si="10">IF($BC$45=2,BA16,IF($AW$45=1,BA16,BM16))</f>
        <v>1</v>
      </c>
      <c r="BN16" s="528">
        <f t="shared" ref="BN16" si="11">IF($BC$45=2,BB16,IF($AW$45=1,BB16,BN16))</f>
        <v>1</v>
      </c>
      <c r="BO16" s="528">
        <f t="shared" ref="BO16" si="12">IF($BC$45=2,BC16,IF($AW$45=1,BC16,BO16))</f>
        <v>1</v>
      </c>
      <c r="BR16" s="628" t="str">
        <f>IF(AZ16&gt;$BC$127,ROW(AZ16)+COLUMN(AZ16)/100,IF($BC$45=1,VLOOKUP(AZ16,○氏名ﾘｽﾄ,2,FALSE),VLOOKUP(AZ16,$BN$70:$BP$135,3,FALSE)))</f>
        <v xml:space="preserve"> --</v>
      </c>
      <c r="BS16" s="628" t="str">
        <f>IF(BA16&gt;$BC$127,ROW(BA16)+COLUMN(BA16)/100,IF($BC$45=1,VLOOKUP(BA16,○氏名ﾘｽﾄ,2,FALSE),VLOOKUP(BA16,$BN$70:$BP$135,3,FALSE)))</f>
        <v xml:space="preserve"> --</v>
      </c>
      <c r="BT16" s="628" t="str">
        <f>IF(BB16&gt;$BC$127,ROW(BB16)+COLUMN(BB16)/100,IF($BC$45=1,VLOOKUP(BB16,○氏名ﾘｽﾄ,2,FALSE),VLOOKUP(BB16,$BN$70:$BP$135,3,FALSE)))</f>
        <v xml:space="preserve"> --</v>
      </c>
      <c r="BU16" s="629" t="str">
        <f>IF(BC16&gt;$BC$127,ROW(BC16)+COLUMN(BC16)/100,IF($BC$45=1,VLOOKUP(BC16,○氏名ﾘｽﾄ,2,FALSE),VLOOKUP(BC16,$BN$70:$BP$135,3,FALSE)))</f>
        <v xml:space="preserve"> --</v>
      </c>
      <c r="BV16" s="167"/>
      <c r="BX16" s="195">
        <f>IF(AZ16&gt;$BC$127,ROW(AZ16)+COLUMN(AZ16)/100,AZ16)</f>
        <v>1</v>
      </c>
      <c r="BY16" s="195">
        <f>IF(BA16&gt;$BC$127,ROW(BA16)+COLUMN(BA16)/100,BA16)</f>
        <v>1</v>
      </c>
      <c r="BZ16" s="195">
        <f>IF(BB16&gt;$BC$127,ROW(BB16)+COLUMN(BB16)/100,BB16)</f>
        <v>1</v>
      </c>
      <c r="CA16" s="230">
        <f>IF(BC16&gt;$BC$127,ROW(BC16)+COLUMN(BC16)/100,BC16)</f>
        <v>1</v>
      </c>
      <c r="CE16" s="196">
        <f>AZ16</f>
        <v>1</v>
      </c>
      <c r="CF16" s="196">
        <f>BA16</f>
        <v>1</v>
      </c>
      <c r="CG16" s="196">
        <f>BB16</f>
        <v>1</v>
      </c>
      <c r="CH16" s="196">
        <f>BC16</f>
        <v>1</v>
      </c>
      <c r="CI16" s="96"/>
      <c r="CJ16" s="196" t="str">
        <f t="shared" ref="CJ16:CM16" si="13">VLOOKUP(CE16,$BN$70:$BS$135,6,FALSE)</f>
        <v xml:space="preserve"> --</v>
      </c>
      <c r="CK16" s="196" t="str">
        <f t="shared" si="13"/>
        <v xml:space="preserve"> --</v>
      </c>
      <c r="CL16" s="196" t="str">
        <f t="shared" si="13"/>
        <v xml:space="preserve"> --</v>
      </c>
      <c r="CM16" s="196" t="str">
        <f t="shared" si="13"/>
        <v xml:space="preserve"> --</v>
      </c>
      <c r="CN16" s="317"/>
      <c r="CO16" s="23">
        <f t="shared" si="9"/>
        <v>5</v>
      </c>
      <c r="CP16" s="246" t="e">
        <f>IF($CP$6=1,CJ14,IF($CP$6=2,CJ40,""))</f>
        <v>#VALUE!</v>
      </c>
      <c r="CQ16" s="246" t="e">
        <f>IF($CP$6=1,CJ15,IF($CP$6=2,CJ41,""))</f>
        <v>#VALUE!</v>
      </c>
      <c r="CS16" s="246" t="str">
        <f>集計!B10</f>
        <v>伊藤</v>
      </c>
      <c r="CT16" s="584" t="str">
        <f t="shared" si="2"/>
        <v/>
      </c>
      <c r="CU16" s="545" t="e">
        <f t="shared" si="3"/>
        <v>#VALUE!</v>
      </c>
      <c r="CV16" s="585" t="str">
        <f t="shared" si="4"/>
        <v/>
      </c>
      <c r="CX16" s="545" t="e">
        <f>IF(INDEX(シート⑤成績表!$E$11:$W$75,ROW(CX16)-11,シート①入力画面!$CT$9)="","",INDEX(シート⑤成績表!$E$11:$W$75,ROW(CX16)-11,シート①入力画面!$CT$9))</f>
        <v>#VALUE!</v>
      </c>
      <c r="DC16" s="261"/>
      <c r="DL16" s="160"/>
    </row>
    <row r="17" spans="2:116" ht="16.5" customHeight="1" thickBot="1" x14ac:dyDescent="0.2">
      <c r="N17" s="96"/>
      <c r="O17" s="96"/>
      <c r="P17" s="111"/>
      <c r="Q17" s="179"/>
      <c r="R17" s="179"/>
      <c r="U17" s="363" t="str">
        <f>IF($BA$36=2,IF($AZ$36=1,AT15,IF($AZ$36=2,AT22,IF($AZ$36=3,AT29,IF($AZ$36=4,AT36,IF($AZ$36=5,AT43,IF($AZ$36=6,AT50,"")))))),IF($AZ$36=1,AT67,IF($AZ$36=2,AT74,IF($AZ$36=3,AT81,""))))</f>
        <v xml:space="preserve">・名前は各欄右側の（▼）をクリックして選択してください </v>
      </c>
      <c r="V17" s="364"/>
      <c r="W17" s="364"/>
      <c r="X17" s="364"/>
      <c r="Y17" s="364"/>
      <c r="Z17" s="364"/>
      <c r="AA17" s="365"/>
      <c r="AE17" s="23"/>
      <c r="AF17" s="23"/>
      <c r="AG17" s="23"/>
      <c r="AI17" s="96"/>
      <c r="AL17" s="96"/>
      <c r="AM17" s="96"/>
      <c r="AR17" s="95"/>
      <c r="AS17" s="281"/>
      <c r="AT17" s="464" t="s">
        <v>494</v>
      </c>
      <c r="AY17" s="96"/>
      <c r="AZ17" s="490"/>
      <c r="BA17" s="491"/>
      <c r="BB17" s="491"/>
      <c r="BC17" s="492"/>
      <c r="BF17" s="490"/>
      <c r="BG17" s="491"/>
      <c r="BH17" s="491"/>
      <c r="BI17" s="492"/>
      <c r="BJ17" s="96"/>
      <c r="BL17" s="173"/>
      <c r="BM17" s="196"/>
      <c r="BN17" s="196"/>
      <c r="BO17" s="197"/>
      <c r="BR17" s="630"/>
      <c r="BS17" s="603"/>
      <c r="BT17" s="603"/>
      <c r="BU17" s="631"/>
      <c r="BV17" s="167"/>
      <c r="BX17" s="231"/>
      <c r="BY17" s="96"/>
      <c r="BZ17" s="179"/>
      <c r="CA17" s="220"/>
      <c r="CE17" s="204"/>
      <c r="CF17" s="196"/>
      <c r="CG17" s="204"/>
      <c r="CH17" s="206"/>
      <c r="CI17" s="96"/>
      <c r="CJ17" s="196" t="str">
        <f>IF(S32="","",IF(S32=0,"",S32))</f>
        <v/>
      </c>
      <c r="CK17" s="196" t="str">
        <f>IF(U32="","",IF(U32=0,"",U32))</f>
        <v/>
      </c>
      <c r="CL17" s="196" t="str">
        <f>IF(W32="","",IF(W32=0,"",W32))</f>
        <v/>
      </c>
      <c r="CM17" s="196" t="str">
        <f>IF(Y32="","",IF(Y32=0,"",Y32))</f>
        <v/>
      </c>
      <c r="CN17" s="317">
        <f>SUM(CJ17:CM17)</f>
        <v>0</v>
      </c>
      <c r="CO17" s="23">
        <f t="shared" si="9"/>
        <v>6</v>
      </c>
      <c r="CP17" s="246" t="e">
        <f>IF($CP$6=1,CK14,IF($CP$6=2,CK40,""))</f>
        <v>#VALUE!</v>
      </c>
      <c r="CQ17" s="246" t="e">
        <f>IF($CP$6=1,CK15,IF($CP$6=2,CK41,""))</f>
        <v>#VALUE!</v>
      </c>
      <c r="CS17" s="246" t="str">
        <f>集計!B11</f>
        <v>上田</v>
      </c>
      <c r="CT17" s="584" t="str">
        <f t="shared" si="2"/>
        <v/>
      </c>
      <c r="CU17" s="545" t="e">
        <f t="shared" si="3"/>
        <v>#VALUE!</v>
      </c>
      <c r="CV17" s="585" t="str">
        <f t="shared" si="4"/>
        <v/>
      </c>
      <c r="CX17" s="545" t="e">
        <f>IF(INDEX(シート⑤成績表!$E$11:$W$75,ROW(CX17)-11,シート①入力画面!$CT$9)="","",INDEX(シート⑤成績表!$E$11:$W$75,ROW(CX17)-11,シート①入力画面!$CT$9))</f>
        <v>#VALUE!</v>
      </c>
      <c r="DC17" s="261"/>
      <c r="DL17" s="160"/>
    </row>
    <row r="18" spans="2:116" ht="16.5" customHeight="1" x14ac:dyDescent="0.15">
      <c r="N18" s="96"/>
      <c r="O18" s="96"/>
      <c r="P18" s="111"/>
      <c r="Q18" s="179"/>
      <c r="R18" s="179"/>
      <c r="U18" s="363" t="str">
        <f>IF($BA$36=2,IF($AZ$36=1,AT16,IF($AZ$36=2,AT23,IF($AZ$36=3,AT30,IF($AZ$36=4,AT37,IF($AZ$36=5,AT44,IF($AZ$36=6,AT51,"")))))),IF($AZ$36=1,AT68,IF($AZ$36=2,AT75,IF($AZ$36=3,AT82,""))))</f>
        <v>　　　五十音順に2段階で表示されます（順番は変化します）</v>
      </c>
      <c r="V18" s="364"/>
      <c r="W18" s="364"/>
      <c r="X18" s="364"/>
      <c r="Y18" s="364"/>
      <c r="Z18" s="364"/>
      <c r="AA18" s="365"/>
      <c r="AE18" s="23"/>
      <c r="AF18" s="23"/>
      <c r="AG18" s="23"/>
      <c r="AI18" s="96"/>
      <c r="AL18" s="96"/>
      <c r="AM18" s="96"/>
      <c r="AO18" s="266"/>
      <c r="AR18" s="95"/>
      <c r="AS18" s="399"/>
      <c r="AT18" s="465" t="s">
        <v>544</v>
      </c>
      <c r="AU18" s="266"/>
      <c r="AY18" s="96"/>
      <c r="AZ18" s="310">
        <v>1</v>
      </c>
      <c r="BA18" s="310">
        <v>1</v>
      </c>
      <c r="BB18" s="310">
        <v>1</v>
      </c>
      <c r="BC18" s="311">
        <v>1</v>
      </c>
      <c r="BF18" s="310">
        <v>1</v>
      </c>
      <c r="BG18" s="310">
        <v>1</v>
      </c>
      <c r="BH18" s="310">
        <v>1</v>
      </c>
      <c r="BI18" s="311">
        <v>1</v>
      </c>
      <c r="BL18" s="528">
        <f>IF($BC$45=2,AZ18,IF($AW$45=1,AZ18,BL18))</f>
        <v>1</v>
      </c>
      <c r="BM18" s="528">
        <f t="shared" ref="BM18" si="14">IF($BC$45=2,BA18,IF($AW$45=1,BA18,BM18))</f>
        <v>1</v>
      </c>
      <c r="BN18" s="528">
        <f t="shared" ref="BN18" si="15">IF($BC$45=2,BB18,IF($AW$45=1,BB18,BN18))</f>
        <v>1</v>
      </c>
      <c r="BO18" s="528">
        <f t="shared" ref="BO18" si="16">IF($BC$45=2,BC18,IF($AW$45=1,BC18,BO18))</f>
        <v>1</v>
      </c>
      <c r="BR18" s="628" t="str">
        <f>IF(AZ18&gt;$BC$127,ROW(AZ18)+COLUMN(AZ18)/100,IF($BC$45=1,VLOOKUP(AZ18,○氏名ﾘｽﾄ,2,FALSE),VLOOKUP(AZ18,$BN$70:$BP$135,3,FALSE)))</f>
        <v xml:space="preserve"> --</v>
      </c>
      <c r="BS18" s="628" t="str">
        <f>IF(BA18&gt;$BC$127,ROW(BA18)+COLUMN(BA18)/100,IF($BC$45=1,VLOOKUP(BA18,○氏名ﾘｽﾄ,2,FALSE),VLOOKUP(BA18,$BN$70:$BP$135,3,FALSE)))</f>
        <v xml:space="preserve"> --</v>
      </c>
      <c r="BT18" s="628" t="str">
        <f>IF(BB18&gt;$BC$127,ROW(BB18)+COLUMN(BB18)/100,IF($BC$45=1,VLOOKUP(BB18,○氏名ﾘｽﾄ,2,FALSE),VLOOKUP(BB18,$BN$70:$BP$135,3,FALSE)))</f>
        <v xml:space="preserve"> --</v>
      </c>
      <c r="BU18" s="629" t="str">
        <f>IF(BC18&gt;$BC$127,ROW(BC18)+COLUMN(BC18)/100,IF($BC$45=1,VLOOKUP(BC18,○氏名ﾘｽﾄ,2,FALSE),VLOOKUP(BC18,$BN$70:$BP$135,3,FALSE)))</f>
        <v xml:space="preserve"> --</v>
      </c>
      <c r="BX18" s="195">
        <f>IF(AZ18&gt;$BC$127,ROW(AZ18)+COLUMN(AZ18)/100,AZ18)</f>
        <v>1</v>
      </c>
      <c r="BY18" s="195">
        <f>IF(BA18&gt;$BC$127,ROW(BA18)+COLUMN(BA18)/100,BA18)</f>
        <v>1</v>
      </c>
      <c r="BZ18" s="195">
        <f>IF(BB18&gt;$BC$127,ROW(BB18)+COLUMN(BB18)/100,BB18)</f>
        <v>1</v>
      </c>
      <c r="CA18" s="230">
        <f>IF(BC18&gt;$BC$127,ROW(BC18)+COLUMN(BC18)/100,BC18)</f>
        <v>1</v>
      </c>
      <c r="CE18" s="196">
        <f>AZ18</f>
        <v>1</v>
      </c>
      <c r="CF18" s="196">
        <f>BA18</f>
        <v>1</v>
      </c>
      <c r="CG18" s="196">
        <f>BB18</f>
        <v>1</v>
      </c>
      <c r="CH18" s="196">
        <f>BC18</f>
        <v>1</v>
      </c>
      <c r="CI18" s="96"/>
      <c r="CJ18" s="196" t="str">
        <f t="shared" ref="CJ18:CM18" si="17">VLOOKUP(CE18,$BN$70:$BS$135,6,FALSE)</f>
        <v xml:space="preserve"> --</v>
      </c>
      <c r="CK18" s="196" t="str">
        <f t="shared" si="17"/>
        <v xml:space="preserve"> --</v>
      </c>
      <c r="CL18" s="196" t="str">
        <f t="shared" si="17"/>
        <v xml:space="preserve"> --</v>
      </c>
      <c r="CM18" s="196" t="str">
        <f t="shared" si="17"/>
        <v xml:space="preserve"> --</v>
      </c>
      <c r="CN18" s="317"/>
      <c r="CO18" s="23">
        <f t="shared" si="9"/>
        <v>7</v>
      </c>
      <c r="CP18" s="246" t="e">
        <f>IF($CP$6=1,CL14,IF($CP$6=2,CL40,""))</f>
        <v>#VALUE!</v>
      </c>
      <c r="CQ18" s="246" t="e">
        <f>IF($CP$6=1,CL15,IF($CP$6=2,CL41,""))</f>
        <v>#VALUE!</v>
      </c>
      <c r="CS18" s="246" t="str">
        <f>集計!B12</f>
        <v>大塩</v>
      </c>
      <c r="CT18" s="584" t="str">
        <f t="shared" si="2"/>
        <v/>
      </c>
      <c r="CU18" s="545" t="e">
        <f t="shared" si="3"/>
        <v>#VALUE!</v>
      </c>
      <c r="CV18" s="585" t="str">
        <f t="shared" si="4"/>
        <v/>
      </c>
      <c r="CX18" s="545" t="e">
        <f>IF(INDEX(シート⑤成績表!$E$11:$W$75,ROW(CX18)-11,シート①入力画面!$CT$9)="","",INDEX(シート⑤成績表!$E$11:$W$75,ROW(CX18)-11,シート①入力画面!$CT$9))</f>
        <v>#VALUE!</v>
      </c>
      <c r="DC18" s="261"/>
      <c r="DL18" s="160"/>
    </row>
    <row r="19" spans="2:116" ht="16.5" customHeight="1" thickBot="1" x14ac:dyDescent="0.2">
      <c r="N19" s="96"/>
      <c r="O19" s="96"/>
      <c r="P19" s="98" t="s">
        <v>529</v>
      </c>
      <c r="Q19" s="23"/>
      <c r="R19" s="23"/>
      <c r="U19" s="363" t="str">
        <f>IF($BA$36=2,IF($AZ$36=1,AT17,IF($AZ$36=2,AT24,IF($AZ$36=3,AT31,IF($AZ$36=4,AT38,IF($AZ$36=5,AT45,IF($AZ$36=6,AT52,"")))))),IF($AZ$36=1,AT69,IF($AZ$36=2,AT76,IF($AZ$36=3,AT83,""))))</f>
        <v xml:space="preserve">･空欄はﾘｽﾄの最上段にあります。（　－－）で表示。  </v>
      </c>
      <c r="V19" s="364"/>
      <c r="W19" s="364"/>
      <c r="X19" s="364"/>
      <c r="Y19" s="364"/>
      <c r="Z19" s="364"/>
      <c r="AA19" s="365"/>
      <c r="AE19" s="23"/>
      <c r="AF19" s="23"/>
      <c r="AG19" s="23"/>
      <c r="AI19" s="96"/>
      <c r="AL19" s="96"/>
      <c r="AM19" s="96"/>
      <c r="AO19" s="266"/>
      <c r="AR19" s="95"/>
      <c r="AS19" s="284"/>
      <c r="AT19" s="466" t="s">
        <v>545</v>
      </c>
      <c r="AU19" s="266"/>
      <c r="AY19" s="96"/>
      <c r="AZ19" s="490"/>
      <c r="BA19" s="491"/>
      <c r="BB19" s="491"/>
      <c r="BC19" s="492"/>
      <c r="BF19" s="490"/>
      <c r="BG19" s="491"/>
      <c r="BH19" s="491"/>
      <c r="BI19" s="492"/>
      <c r="BL19" s="173"/>
      <c r="BM19" s="196"/>
      <c r="BN19" s="196"/>
      <c r="BO19" s="197"/>
      <c r="BR19" s="630"/>
      <c r="BS19" s="603"/>
      <c r="BT19" s="603"/>
      <c r="BU19" s="631"/>
      <c r="BX19" s="231"/>
      <c r="BY19" s="96"/>
      <c r="BZ19" s="179"/>
      <c r="CA19" s="220"/>
      <c r="CE19" s="204"/>
      <c r="CF19" s="196"/>
      <c r="CG19" s="204"/>
      <c r="CH19" s="206"/>
      <c r="CI19" s="96"/>
      <c r="CJ19" s="196" t="str">
        <f>IF(S34="","",IF(S34=0,"",S34))</f>
        <v/>
      </c>
      <c r="CK19" s="196" t="str">
        <f>IF(U34="","",IF(U34=0,"",U34))</f>
        <v/>
      </c>
      <c r="CL19" s="196" t="str">
        <f>IF(W34="","",IF(W34=0,"",W34))</f>
        <v/>
      </c>
      <c r="CM19" s="196" t="str">
        <f>IF(Y34="","",IF(Y34=0,"",Y34))</f>
        <v/>
      </c>
      <c r="CN19" s="317">
        <f>SUM(CJ19:CM19)</f>
        <v>0</v>
      </c>
      <c r="CO19" s="23">
        <f t="shared" si="9"/>
        <v>8</v>
      </c>
      <c r="CP19" s="246" t="e">
        <f>IF($CP$6=1,CM14,IF($CP$6=2,CM40,""))</f>
        <v>#VALUE!</v>
      </c>
      <c r="CQ19" s="246" t="e">
        <f>IF($CP$6=1,CM15,IF($CP$6=2,CM41,""))</f>
        <v>#VALUE!</v>
      </c>
      <c r="CS19" s="246" t="str">
        <f>集計!B13</f>
        <v>大橋</v>
      </c>
      <c r="CT19" s="584" t="str">
        <f t="shared" si="2"/>
        <v/>
      </c>
      <c r="CU19" s="545" t="e">
        <f t="shared" si="3"/>
        <v>#VALUE!</v>
      </c>
      <c r="CV19" s="585" t="str">
        <f t="shared" si="4"/>
        <v/>
      </c>
      <c r="CX19" s="545" t="e">
        <f>IF(INDEX(シート⑤成績表!$E$11:$W$75,ROW(CX19)-11,シート①入力画面!$CT$9)="","",INDEX(シート⑤成績表!$E$11:$W$75,ROW(CX19)-11,シート①入力画面!$CT$9))</f>
        <v>#VALUE!</v>
      </c>
      <c r="DC19" s="261"/>
    </row>
    <row r="20" spans="2:116" ht="16.5" customHeight="1" thickBot="1" x14ac:dyDescent="0.2">
      <c r="N20" s="96"/>
      <c r="P20" s="339" t="s">
        <v>332</v>
      </c>
      <c r="Q20" s="713"/>
      <c r="R20" s="260" t="s">
        <v>696</v>
      </c>
      <c r="U20" s="363" t="str">
        <f>IF($BA$36=2,IF($AZ$36=1,AT18,IF($AZ$36=2,AT25,IF($AZ$36=3,AT32,IF($AZ$36=4,AT39,IF($AZ$36=5,AT46,IF($AZ$36=6,AT53,"")))))),IF($AZ$36=1,AT70,IF($AZ$36=2,AT77,IF($AZ$36=3,AT84,""))))</f>
        <v>･年齢順等、並べ方を整理するにはPD(ﾌﾟﾙﾀﾞｳﾝ)で(2)へ進んで下さい</v>
      </c>
      <c r="V20" s="364"/>
      <c r="W20" s="364"/>
      <c r="X20" s="364"/>
      <c r="Y20" s="364"/>
      <c r="Z20" s="364"/>
      <c r="AA20" s="365"/>
      <c r="AE20" s="23"/>
      <c r="AF20" s="23"/>
      <c r="AG20" s="23"/>
      <c r="AI20" s="96"/>
      <c r="AK20" s="238"/>
      <c r="AL20" s="239"/>
      <c r="AM20" s="239"/>
      <c r="AN20" s="238"/>
      <c r="AR20" s="95"/>
      <c r="AS20" s="138"/>
      <c r="AY20" s="96"/>
      <c r="AZ20" s="310">
        <v>1</v>
      </c>
      <c r="BA20" s="310">
        <v>1</v>
      </c>
      <c r="BB20" s="310">
        <v>1</v>
      </c>
      <c r="BC20" s="311">
        <v>1</v>
      </c>
      <c r="BF20" s="310">
        <v>1</v>
      </c>
      <c r="BG20" s="310">
        <v>1</v>
      </c>
      <c r="BH20" s="310">
        <v>1</v>
      </c>
      <c r="BI20" s="311">
        <v>1</v>
      </c>
      <c r="BL20" s="528">
        <f>IF($BC$45=2,AZ20,IF($AW$45=1,AZ20,BL20))</f>
        <v>1</v>
      </c>
      <c r="BM20" s="528">
        <f t="shared" ref="BM20" si="18">IF($BC$45=2,BA20,IF($AW$45=1,BA20,BM20))</f>
        <v>1</v>
      </c>
      <c r="BN20" s="528">
        <f t="shared" ref="BN20" si="19">IF($BC$45=2,BB20,IF($AW$45=1,BB20,BN20))</f>
        <v>1</v>
      </c>
      <c r="BO20" s="528">
        <f t="shared" ref="BO20" si="20">IF($BC$45=2,BC20,IF($AW$45=1,BC20,BO20))</f>
        <v>1</v>
      </c>
      <c r="BP20" s="96"/>
      <c r="BR20" s="628" t="str">
        <f>IF(AZ20&gt;$BC$127,ROW(AZ20)+COLUMN(AZ20)/100,IF($BC$45=1,VLOOKUP(AZ20,○氏名ﾘｽﾄ,2,FALSE),VLOOKUP(AZ20,$BN$70:$BP$135,3,FALSE)))</f>
        <v xml:space="preserve"> --</v>
      </c>
      <c r="BS20" s="628" t="str">
        <f>IF(BA20&gt;$BC$127,ROW(BA20)+COLUMN(BA20)/100,IF($BC$45=1,VLOOKUP(BA20,○氏名ﾘｽﾄ,2,FALSE),VLOOKUP(BA20,$BN$70:$BP$135,3,FALSE)))</f>
        <v xml:space="preserve"> --</v>
      </c>
      <c r="BT20" s="628" t="str">
        <f>IF(BB20&gt;$BC$127,ROW(BB20)+COLUMN(BB20)/100,IF($BC$45=1,VLOOKUP(BB20,○氏名ﾘｽﾄ,2,FALSE),VLOOKUP(BB20,$BN$70:$BP$135,3,FALSE)))</f>
        <v xml:space="preserve"> --</v>
      </c>
      <c r="BU20" s="629" t="str">
        <f>IF(BC20&gt;$BC$127,ROW(BC20)+COLUMN(BC20)/100,IF($BC$45=1,VLOOKUP(BC20,○氏名ﾘｽﾄ,2,FALSE),VLOOKUP(BC20,$BN$70:$BP$135,3,FALSE)))</f>
        <v xml:space="preserve"> --</v>
      </c>
      <c r="BX20" s="195">
        <f>IF(AZ20&gt;$BC$127,ROW(AZ20)+COLUMN(AZ20)/100,AZ20)</f>
        <v>1</v>
      </c>
      <c r="BY20" s="195">
        <f>IF(BA20&gt;$BC$127,ROW(BA20)+COLUMN(BA20)/100,BA20)</f>
        <v>1</v>
      </c>
      <c r="BZ20" s="195">
        <f>IF(BB20&gt;$BC$127,ROW(BB20)+COLUMN(BB20)/100,BB20)</f>
        <v>1</v>
      </c>
      <c r="CA20" s="230">
        <f>IF(BC20&gt;$BC$127,ROW(BC20)+COLUMN(BC20)/100,BC20)</f>
        <v>1</v>
      </c>
      <c r="CE20" s="196">
        <f>AZ20</f>
        <v>1</v>
      </c>
      <c r="CF20" s="196">
        <f>BA20</f>
        <v>1</v>
      </c>
      <c r="CG20" s="196">
        <f>BB20</f>
        <v>1</v>
      </c>
      <c r="CH20" s="196">
        <f>BC20</f>
        <v>1</v>
      </c>
      <c r="CI20" s="96"/>
      <c r="CJ20" s="196" t="str">
        <f t="shared" ref="CJ20:CM20" si="21">VLOOKUP(CE20,$BN$70:$BS$135,6,FALSE)</f>
        <v xml:space="preserve"> --</v>
      </c>
      <c r="CK20" s="196" t="str">
        <f t="shared" si="21"/>
        <v xml:space="preserve"> --</v>
      </c>
      <c r="CL20" s="196" t="str">
        <f t="shared" si="21"/>
        <v xml:space="preserve"> --</v>
      </c>
      <c r="CM20" s="196" t="str">
        <f t="shared" si="21"/>
        <v xml:space="preserve"> --</v>
      </c>
      <c r="CN20" s="317"/>
      <c r="CO20" s="23">
        <f t="shared" si="9"/>
        <v>9</v>
      </c>
      <c r="CP20" s="246" t="e">
        <f>IF($CP$6=1,CJ16,IF($CP$6=2,CJ42,""))</f>
        <v>#VALUE!</v>
      </c>
      <c r="CQ20" s="246" t="e">
        <f>IF($CP$6=1,CJ17,IF($CP$6=2,CJ43,""))</f>
        <v>#VALUE!</v>
      </c>
      <c r="CS20" s="246" t="str">
        <f>集計!B14</f>
        <v>岡本</v>
      </c>
      <c r="CT20" s="584" t="str">
        <f t="shared" si="2"/>
        <v/>
      </c>
      <c r="CU20" s="545" t="e">
        <f t="shared" si="3"/>
        <v>#VALUE!</v>
      </c>
      <c r="CV20" s="585" t="str">
        <f t="shared" si="4"/>
        <v/>
      </c>
      <c r="CX20" s="545" t="e">
        <f>IF(INDEX(シート⑤成績表!$E$11:$W$75,ROW(CX20)-11,シート①入力画面!$CT$9)="","",INDEX(シート⑤成績表!$E$11:$W$75,ROW(CX20)-11,シート①入力画面!$CT$9))</f>
        <v>#VALUE!</v>
      </c>
      <c r="DC20" s="261"/>
    </row>
    <row r="21" spans="2:116" ht="16.5" customHeight="1" thickBot="1" x14ac:dyDescent="0.2">
      <c r="N21" s="96"/>
      <c r="P21" s="467" t="s">
        <v>333</v>
      </c>
      <c r="Q21" s="769"/>
      <c r="R21" s="770"/>
      <c r="U21" s="366" t="str">
        <f>IF($BA$36=2,IF($AZ$36=1,AT19,IF($AZ$36=2,AT26,IF($AZ$36=3,AT33,IF($AZ$36=4,AT40,IF($AZ$36=5,AT47,IF($AZ$36=6,AT54,"")))))),IF($AZ$36=1,AT71,IF($AZ$36=2,AT78,IF($AZ$36=3,AT85,""))))</f>
        <v>・この組合せで良ければPDで(3)へ進んで下さい</v>
      </c>
      <c r="V21" s="367"/>
      <c r="W21" s="368"/>
      <c r="X21" s="368"/>
      <c r="Y21" s="367"/>
      <c r="Z21" s="367"/>
      <c r="AA21" s="369"/>
      <c r="AB21"/>
      <c r="AE21" s="23"/>
      <c r="AF21" s="23"/>
      <c r="AG21" s="23"/>
      <c r="AI21" s="96"/>
      <c r="AK21" s="238"/>
      <c r="AL21" s="239"/>
      <c r="AM21" s="239"/>
      <c r="AN21" s="238"/>
      <c r="AR21" s="95"/>
      <c r="AS21" s="282" t="s">
        <v>236</v>
      </c>
      <c r="AT21" s="537" t="s">
        <v>523</v>
      </c>
      <c r="AW21" s="460" t="s">
        <v>305</v>
      </c>
      <c r="AY21" s="96"/>
      <c r="AZ21" s="490"/>
      <c r="BA21" s="491"/>
      <c r="BB21" s="491"/>
      <c r="BC21" s="492"/>
      <c r="BF21" s="490"/>
      <c r="BG21" s="491"/>
      <c r="BH21" s="491"/>
      <c r="BI21" s="492"/>
      <c r="BL21" s="173"/>
      <c r="BM21" s="196"/>
      <c r="BN21" s="196"/>
      <c r="BO21" s="197"/>
      <c r="BP21" s="96"/>
      <c r="BR21" s="630"/>
      <c r="BS21" s="603"/>
      <c r="BT21" s="603"/>
      <c r="BU21" s="631"/>
      <c r="BX21" s="231"/>
      <c r="BY21" s="96"/>
      <c r="BZ21" s="179"/>
      <c r="CA21" s="220"/>
      <c r="CE21" s="204"/>
      <c r="CF21" s="196"/>
      <c r="CG21" s="204"/>
      <c r="CH21" s="206"/>
      <c r="CI21" s="96"/>
      <c r="CJ21" s="196" t="str">
        <f>IF(S36="","",IF(S36=0,"",S36))</f>
        <v/>
      </c>
      <c r="CK21" s="196" t="str">
        <f>IF(U36="","",IF(U36=0,"",U36))</f>
        <v/>
      </c>
      <c r="CL21" s="196" t="str">
        <f>IF(W36="","",IF(W36=0,"",W36))</f>
        <v/>
      </c>
      <c r="CM21" s="196" t="str">
        <f>IF(Y36="","",IF(Y36=0,"",Y36))</f>
        <v/>
      </c>
      <c r="CN21" s="317">
        <f>SUM(CJ21:CM21)</f>
        <v>0</v>
      </c>
      <c r="CO21" s="23">
        <f t="shared" si="9"/>
        <v>10</v>
      </c>
      <c r="CP21" s="246" t="e">
        <f>IF($CP$6=1,CK16,IF($CP$6=2,CK42,""))</f>
        <v>#VALUE!</v>
      </c>
      <c r="CQ21" s="246" t="e">
        <f>IF($CP$6=1,CK17,IF($CP$6=2,CK43,""))</f>
        <v>#VALUE!</v>
      </c>
      <c r="CS21" s="246" t="str">
        <f>集計!B15</f>
        <v>興津</v>
      </c>
      <c r="CT21" s="584" t="str">
        <f t="shared" si="2"/>
        <v/>
      </c>
      <c r="CU21" s="545" t="e">
        <f t="shared" si="3"/>
        <v>#VALUE!</v>
      </c>
      <c r="CV21" s="585" t="str">
        <f t="shared" si="4"/>
        <v/>
      </c>
      <c r="CX21" s="545" t="e">
        <f>IF(INDEX(シート⑤成績表!$E$11:$W$75,ROW(CX21)-11,シート①入力画面!$CT$9)="","",INDEX(シート⑤成績表!$E$11:$W$75,ROW(CX21)-11,シート①入力画面!$CT$9))</f>
        <v>#VALUE!</v>
      </c>
      <c r="DC21" s="261"/>
    </row>
    <row r="22" spans="2:116" ht="16.5" customHeight="1" x14ac:dyDescent="0.15">
      <c r="N22" s="96"/>
      <c r="P22" s="467" t="s">
        <v>317</v>
      </c>
      <c r="Q22" s="772"/>
      <c r="R22" s="773"/>
      <c r="S22" s="96"/>
      <c r="AB22"/>
      <c r="AE22" s="23"/>
      <c r="AF22" s="23"/>
      <c r="AG22" s="23"/>
      <c r="AI22" s="96"/>
      <c r="AK22" s="238"/>
      <c r="AL22" s="240"/>
      <c r="AM22" s="239"/>
      <c r="AN22" s="238"/>
      <c r="AR22" s="95"/>
      <c r="AS22" s="281"/>
      <c r="AT22" s="464" t="s">
        <v>524</v>
      </c>
      <c r="AW22" s="460" t="s">
        <v>306</v>
      </c>
      <c r="AZ22" s="310">
        <v>1</v>
      </c>
      <c r="BA22" s="310">
        <v>1</v>
      </c>
      <c r="BB22" s="310">
        <v>1</v>
      </c>
      <c r="BC22" s="311">
        <v>1</v>
      </c>
      <c r="BD22" s="96"/>
      <c r="BF22" s="310">
        <v>1</v>
      </c>
      <c r="BG22" s="310">
        <v>1</v>
      </c>
      <c r="BH22" s="310">
        <v>1</v>
      </c>
      <c r="BI22" s="311">
        <v>1</v>
      </c>
      <c r="BJ22" s="160"/>
      <c r="BK22" s="198"/>
      <c r="BL22" s="528">
        <f>IF($BC$45=2,AZ22,IF($AW$45=1,AZ22,BL22))</f>
        <v>1</v>
      </c>
      <c r="BM22" s="528">
        <f t="shared" ref="BM22" si="22">IF($BC$45=2,BA22,IF($AW$45=1,BA22,BM22))</f>
        <v>1</v>
      </c>
      <c r="BN22" s="528">
        <f t="shared" ref="BN22" si="23">IF($BC$45=2,BB22,IF($AW$45=1,BB22,BN22))</f>
        <v>1</v>
      </c>
      <c r="BO22" s="528">
        <f t="shared" ref="BO22" si="24">IF($BC$45=2,BC22,IF($AW$45=1,BC22,BO22))</f>
        <v>1</v>
      </c>
      <c r="BP22" s="198"/>
      <c r="BQ22" s="160"/>
      <c r="BR22" s="628" t="str">
        <f>IF(AZ22&gt;$BC$127,ROW(AZ22)+COLUMN(AZ22)/100,IF($BC$45=1,VLOOKUP(AZ22,○氏名ﾘｽﾄ,2,FALSE),VLOOKUP(AZ22,$BN$70:$BP$135,3,FALSE)))</f>
        <v xml:space="preserve"> --</v>
      </c>
      <c r="BS22" s="628" t="str">
        <f>IF(BA22&gt;$BC$127,ROW(BA22)+COLUMN(BA22)/100,IF($BC$45=1,VLOOKUP(BA22,○氏名ﾘｽﾄ,2,FALSE),VLOOKUP(BA22,$BN$70:$BP$135,3,FALSE)))</f>
        <v xml:space="preserve"> --</v>
      </c>
      <c r="BT22" s="628" t="str">
        <f>IF(BB22&gt;$BC$127,ROW(BB22)+COLUMN(BB22)/100,IF($BC$45=1,VLOOKUP(BB22,○氏名ﾘｽﾄ,2,FALSE),VLOOKUP(BB22,$BN$70:$BP$135,3,FALSE)))</f>
        <v xml:space="preserve"> --</v>
      </c>
      <c r="BU22" s="629" t="str">
        <f>IF(BC22&gt;$BC$127,ROW(BC22)+COLUMN(BC22)/100,IF($BC$45=1,VLOOKUP(BC22,○氏名ﾘｽﾄ,2,FALSE),VLOOKUP(BC22,$BN$70:$BP$135,3,FALSE)))</f>
        <v xml:space="preserve"> --</v>
      </c>
      <c r="BX22" s="195">
        <f>IF(AZ22&gt;$BC$127,ROW(AZ22)+COLUMN(AZ22)/100,AZ22)</f>
        <v>1</v>
      </c>
      <c r="BY22" s="195">
        <f>IF(BA22&gt;$BC$127,ROW(BA22)+COLUMN(BA22)/100,BA22)</f>
        <v>1</v>
      </c>
      <c r="BZ22" s="195">
        <f>IF(BB22&gt;$BC$127,ROW(BB22)+COLUMN(BB22)/100,BB22)</f>
        <v>1</v>
      </c>
      <c r="CA22" s="230">
        <f>IF(BC22&gt;$BC$127,ROW(BC22)+COLUMN(BC22)/100,BC22)</f>
        <v>1</v>
      </c>
      <c r="CE22" s="196">
        <f>AZ22</f>
        <v>1</v>
      </c>
      <c r="CF22" s="196">
        <f>BA22</f>
        <v>1</v>
      </c>
      <c r="CG22" s="196">
        <f>BB22</f>
        <v>1</v>
      </c>
      <c r="CH22" s="196">
        <f>BC22</f>
        <v>1</v>
      </c>
      <c r="CI22" s="96"/>
      <c r="CJ22" s="196" t="str">
        <f t="shared" ref="CJ22:CM22" si="25">VLOOKUP(CE22,$BN$70:$BS$135,6,FALSE)</f>
        <v xml:space="preserve"> --</v>
      </c>
      <c r="CK22" s="196" t="str">
        <f t="shared" si="25"/>
        <v xml:space="preserve"> --</v>
      </c>
      <c r="CL22" s="196" t="str">
        <f t="shared" si="25"/>
        <v xml:space="preserve"> --</v>
      </c>
      <c r="CM22" s="196" t="str">
        <f t="shared" si="25"/>
        <v xml:space="preserve"> --</v>
      </c>
      <c r="CN22" s="317"/>
      <c r="CO22" s="23">
        <f t="shared" si="9"/>
        <v>11</v>
      </c>
      <c r="CP22" s="246" t="e">
        <f>IF($CP$6=1,CL16,IF($CP$6=2,CL42,""))</f>
        <v>#VALUE!</v>
      </c>
      <c r="CQ22" s="246" t="e">
        <f>IF($CP$6=1,CL17,IF($CP$6=2,CL43,""))</f>
        <v>#VALUE!</v>
      </c>
      <c r="CS22" s="246" t="str">
        <f>集計!B16</f>
        <v>奥原</v>
      </c>
      <c r="CT22" s="584" t="str">
        <f t="shared" si="2"/>
        <v/>
      </c>
      <c r="CU22" s="545" t="e">
        <f t="shared" si="3"/>
        <v>#VALUE!</v>
      </c>
      <c r="CV22" s="585" t="str">
        <f t="shared" si="4"/>
        <v/>
      </c>
      <c r="CX22" s="545" t="e">
        <f>IF(INDEX(シート⑤成績表!$E$11:$W$75,ROW(CX22)-11,シート①入力画面!$CT$9)="","",INDEX(シート⑤成績表!$E$11:$W$75,ROW(CX22)-11,シート①入力画面!$CT$9))</f>
        <v>#VALUE!</v>
      </c>
      <c r="DC22" s="261"/>
    </row>
    <row r="23" spans="2:116" ht="18" customHeight="1" thickBot="1" x14ac:dyDescent="0.2">
      <c r="N23" s="96"/>
      <c r="P23" s="468" t="s">
        <v>46</v>
      </c>
      <c r="Q23" s="346" t="str">
        <f>VLOOKUP($BC$36,$BE$70:$BF$129,2,FALSE)</f>
        <v xml:space="preserve"> --</v>
      </c>
      <c r="R23" s="297"/>
      <c r="AB23"/>
      <c r="AE23" s="23"/>
      <c r="AF23" s="23"/>
      <c r="AG23" s="23"/>
      <c r="AI23" s="96"/>
      <c r="AL23" s="96"/>
      <c r="AM23" s="96"/>
      <c r="AR23" s="95"/>
      <c r="AS23" s="286"/>
      <c r="AT23" s="464" t="s">
        <v>240</v>
      </c>
      <c r="AW23" s="460"/>
      <c r="AZ23" s="490"/>
      <c r="BA23" s="491"/>
      <c r="BB23" s="491"/>
      <c r="BC23" s="492"/>
      <c r="BD23" s="96"/>
      <c r="BF23" s="490"/>
      <c r="BG23" s="491"/>
      <c r="BH23" s="491"/>
      <c r="BI23" s="492"/>
      <c r="BJ23" s="160"/>
      <c r="BK23" s="198"/>
      <c r="BL23" s="173"/>
      <c r="BM23" s="196"/>
      <c r="BN23" s="196"/>
      <c r="BO23" s="197"/>
      <c r="BP23" s="198"/>
      <c r="BQ23" s="160"/>
      <c r="BR23" s="630"/>
      <c r="BS23" s="603"/>
      <c r="BT23" s="603"/>
      <c r="BU23" s="631"/>
      <c r="BX23" s="219"/>
      <c r="CA23" s="220"/>
      <c r="CE23" s="204"/>
      <c r="CF23" s="196"/>
      <c r="CG23" s="204"/>
      <c r="CH23" s="206"/>
      <c r="CI23" s="96"/>
      <c r="CJ23" s="196" t="str">
        <f>IF(S38="","",IF(S38=0,"",S38))</f>
        <v/>
      </c>
      <c r="CK23" s="196" t="str">
        <f>IF(U38="","",IF(U38=0,"",U38))</f>
        <v/>
      </c>
      <c r="CL23" s="196" t="str">
        <f>IF(W38="","",IF(W38=0,"",W38))</f>
        <v/>
      </c>
      <c r="CM23" s="196" t="str">
        <f>IF(Y38="","",IF(Y38=0,"",Y38))</f>
        <v/>
      </c>
      <c r="CN23" s="317">
        <f>SUM(CJ23:CM23)</f>
        <v>0</v>
      </c>
      <c r="CO23" s="23">
        <f t="shared" si="9"/>
        <v>12</v>
      </c>
      <c r="CP23" s="246" t="e">
        <f>IF($CP$6=1,CM16,IF($CP$6=2,CM42,""))</f>
        <v>#VALUE!</v>
      </c>
      <c r="CQ23" s="246" t="e">
        <f>IF($CP$6=1,CM17,IF($CP$6=2,CM43,""))</f>
        <v>#VALUE!</v>
      </c>
      <c r="CS23" s="246" t="str">
        <f>集計!B17</f>
        <v>小倉</v>
      </c>
      <c r="CT23" s="584" t="str">
        <f t="shared" si="2"/>
        <v/>
      </c>
      <c r="CU23" s="545" t="e">
        <f t="shared" si="3"/>
        <v>#VALUE!</v>
      </c>
      <c r="CV23" s="585" t="str">
        <f t="shared" si="4"/>
        <v/>
      </c>
      <c r="CX23" s="545" t="e">
        <f>IF(INDEX(シート⑤成績表!$E$11:$W$75,ROW(CX23)-11,シート①入力画面!$CT$9)="","",INDEX(シート⑤成績表!$E$11:$W$75,ROW(CX23)-11,シート①入力画面!$CT$9))</f>
        <v>#VALUE!</v>
      </c>
      <c r="DC23" s="261"/>
    </row>
    <row r="24" spans="2:116" ht="18.75" customHeight="1" x14ac:dyDescent="0.15">
      <c r="H24" s="351" t="s">
        <v>308</v>
      </c>
      <c r="J24" s="351" t="s">
        <v>308</v>
      </c>
      <c r="L24" s="351" t="s">
        <v>308</v>
      </c>
      <c r="N24" s="96"/>
      <c r="O24" s="96"/>
      <c r="AB24"/>
      <c r="AF24" s="23"/>
      <c r="AG24" s="23"/>
      <c r="AI24" s="96"/>
      <c r="AL24" s="96"/>
      <c r="AM24" s="96"/>
      <c r="AO24" s="108"/>
      <c r="AR24" s="95"/>
      <c r="AS24" s="469"/>
      <c r="AT24" s="464" t="s">
        <v>525</v>
      </c>
      <c r="AU24" s="108"/>
      <c r="AW24" s="23" t="s">
        <v>307</v>
      </c>
      <c r="AZ24" s="310">
        <v>1</v>
      </c>
      <c r="BA24" s="310">
        <v>1</v>
      </c>
      <c r="BB24" s="310">
        <v>1</v>
      </c>
      <c r="BC24" s="311">
        <v>1</v>
      </c>
      <c r="BD24" s="96"/>
      <c r="BF24" s="310">
        <v>1</v>
      </c>
      <c r="BG24" s="310">
        <v>1</v>
      </c>
      <c r="BH24" s="310">
        <v>1</v>
      </c>
      <c r="BI24" s="311">
        <v>1</v>
      </c>
      <c r="BJ24" s="160"/>
      <c r="BK24" s="198"/>
      <c r="BL24" s="528">
        <f>IF($BC$45=2,AZ24,IF($AW$45=1,AZ24,BL24))</f>
        <v>1</v>
      </c>
      <c r="BM24" s="528">
        <f t="shared" ref="BM24" si="26">IF($BC$45=2,BA24,IF($AW$45=1,BA24,BM24))</f>
        <v>1</v>
      </c>
      <c r="BN24" s="528">
        <f t="shared" ref="BN24" si="27">IF($BC$45=2,BB24,IF($AW$45=1,BB24,BN24))</f>
        <v>1</v>
      </c>
      <c r="BO24" s="528">
        <f t="shared" ref="BO24" si="28">IF($BC$45=2,BC24,IF($AW$45=1,BC24,BO24))</f>
        <v>1</v>
      </c>
      <c r="BP24" s="198"/>
      <c r="BQ24" s="160"/>
      <c r="BR24" s="628" t="str">
        <f>IF(AZ24&gt;$BC$127,ROW(AZ24)+COLUMN(AZ24)/100,IF($BC$45=1,VLOOKUP(AZ24,○氏名ﾘｽﾄ,2,FALSE),VLOOKUP(AZ24,$BN$70:$BP$135,3,FALSE)))</f>
        <v xml:space="preserve"> --</v>
      </c>
      <c r="BS24" s="628" t="str">
        <f>IF(BA24&gt;$BC$127,ROW(BA24)+COLUMN(BA24)/100,IF($BC$45=1,VLOOKUP(BA24,○氏名ﾘｽﾄ,2,FALSE),VLOOKUP(BA24,$BN$70:$BP$135,3,FALSE)))</f>
        <v xml:space="preserve"> --</v>
      </c>
      <c r="BT24" s="628" t="str">
        <f>IF(BB24&gt;$BC$127,ROW(BB24)+COLUMN(BB24)/100,IF($BC$45=1,VLOOKUP(BB24,○氏名ﾘｽﾄ,2,FALSE),VLOOKUP(BB24,$BN$70:$BP$135,3,FALSE)))</f>
        <v xml:space="preserve"> --</v>
      </c>
      <c r="BU24" s="629" t="str">
        <f>IF(BC24&gt;$BC$127,ROW(BC24)+COLUMN(BC24)/100,IF($BC$45=1,VLOOKUP(BC24,○氏名ﾘｽﾄ,2,FALSE),VLOOKUP(BC24,$BN$70:$BP$135,3,FALSE)))</f>
        <v xml:space="preserve"> --</v>
      </c>
      <c r="BX24" s="195">
        <f>IF(AZ24&gt;$BC$127,ROW(AZ24)+COLUMN(AZ24)/100,AZ24)</f>
        <v>1</v>
      </c>
      <c r="BY24" s="195">
        <f>IF(BA24&gt;$BC$127,ROW(BA24)+COLUMN(BA24)/100,BA24)</f>
        <v>1</v>
      </c>
      <c r="BZ24" s="195">
        <f>IF(BB24&gt;$BC$127,ROW(BB24)+COLUMN(BB24)/100,BB24)</f>
        <v>1</v>
      </c>
      <c r="CA24" s="230">
        <f>IF(BC24&gt;$BC$127,ROW(BC24)+COLUMN(BC24)/100,BC24)</f>
        <v>1</v>
      </c>
      <c r="CE24" s="196">
        <f>AZ24</f>
        <v>1</v>
      </c>
      <c r="CF24" s="196">
        <f>BA24</f>
        <v>1</v>
      </c>
      <c r="CG24" s="196">
        <f>BB24</f>
        <v>1</v>
      </c>
      <c r="CH24" s="196">
        <f>BC24</f>
        <v>1</v>
      </c>
      <c r="CI24" s="96"/>
      <c r="CJ24" s="196" t="str">
        <f t="shared" ref="CJ24:CM24" si="29">VLOOKUP(CE24,$BN$70:$BS$135,6,FALSE)</f>
        <v xml:space="preserve"> --</v>
      </c>
      <c r="CK24" s="196" t="str">
        <f t="shared" si="29"/>
        <v xml:space="preserve"> --</v>
      </c>
      <c r="CL24" s="196" t="str">
        <f t="shared" si="29"/>
        <v xml:space="preserve"> --</v>
      </c>
      <c r="CM24" s="196" t="str">
        <f t="shared" si="29"/>
        <v xml:space="preserve"> --</v>
      </c>
      <c r="CN24" s="317"/>
      <c r="CO24" s="23">
        <f t="shared" si="9"/>
        <v>13</v>
      </c>
      <c r="CP24" s="246" t="e">
        <f>IF($CP$6=1,CJ18,IF($CP$6=2,CJ44,""))</f>
        <v>#VALUE!</v>
      </c>
      <c r="CQ24" s="246" t="e">
        <f>IF($CP$6=1,CJ19,IF($CP$6=2,CJ45,""))</f>
        <v>#VALUE!</v>
      </c>
      <c r="CS24" s="246" t="str">
        <f>集計!B18</f>
        <v>小野山</v>
      </c>
      <c r="CT24" s="584" t="str">
        <f t="shared" si="2"/>
        <v/>
      </c>
      <c r="CU24" s="545" t="e">
        <f t="shared" si="3"/>
        <v>#VALUE!</v>
      </c>
      <c r="CV24" s="585" t="str">
        <f t="shared" si="4"/>
        <v/>
      </c>
      <c r="CX24" s="545" t="e">
        <f>IF(INDEX(シート⑤成績表!$E$11:$W$75,ROW(CX24)-11,シート①入力画面!$CT$9)="","",INDEX(シート⑤成績表!$E$11:$W$75,ROW(CX24)-11,シート①入力画面!$CT$9))</f>
        <v>#VALUE!</v>
      </c>
      <c r="DC24" s="261"/>
    </row>
    <row r="25" spans="2:116" ht="16.5" customHeight="1" thickBot="1" x14ac:dyDescent="0.2">
      <c r="H25" s="352" t="s">
        <v>318</v>
      </c>
      <c r="J25" s="352" t="s">
        <v>318</v>
      </c>
      <c r="L25" s="352" t="s">
        <v>318</v>
      </c>
      <c r="N25" s="96"/>
      <c r="O25" s="96"/>
      <c r="P25" s="109" t="s">
        <v>531</v>
      </c>
      <c r="W25" s="23"/>
      <c r="X25" s="23"/>
      <c r="Y25" s="23"/>
      <c r="Z25" s="470"/>
      <c r="AB25"/>
      <c r="AE25" s="23"/>
      <c r="AF25" s="23"/>
      <c r="AG25" s="23"/>
      <c r="AI25" s="96"/>
      <c r="AL25" s="96"/>
      <c r="AM25" s="96"/>
      <c r="AR25" s="95"/>
      <c r="AS25" s="398"/>
      <c r="AT25" s="309" t="s">
        <v>526</v>
      </c>
      <c r="AZ25" s="490"/>
      <c r="BA25" s="491"/>
      <c r="BB25" s="491"/>
      <c r="BC25" s="492"/>
      <c r="BD25" s="96"/>
      <c r="BF25" s="490"/>
      <c r="BG25" s="491"/>
      <c r="BH25" s="491"/>
      <c r="BI25" s="492"/>
      <c r="BJ25" s="160"/>
      <c r="BK25" s="145"/>
      <c r="BL25" s="173"/>
      <c r="BM25" s="196"/>
      <c r="BN25" s="196"/>
      <c r="BO25" s="197"/>
      <c r="BP25" s="198"/>
      <c r="BQ25" s="160"/>
      <c r="BR25" s="630"/>
      <c r="BS25" s="603"/>
      <c r="BT25" s="603"/>
      <c r="BU25" s="631"/>
      <c r="BX25" s="219"/>
      <c r="CA25" s="220"/>
      <c r="CE25" s="204"/>
      <c r="CF25" s="196"/>
      <c r="CG25" s="204"/>
      <c r="CH25" s="206"/>
      <c r="CI25" s="96"/>
      <c r="CJ25" s="196" t="str">
        <f>IF(S40="","",IF(S40=0,"",S40))</f>
        <v/>
      </c>
      <c r="CK25" s="196" t="str">
        <f>IF(U40="","",IF(U40=0,"",U40))</f>
        <v/>
      </c>
      <c r="CL25" s="196" t="str">
        <f>IF(W40="","",IF(W40=0,"",W40))</f>
        <v/>
      </c>
      <c r="CM25" s="196" t="str">
        <f>IF(Y40="","",IF(Y40=0,"",Y40))</f>
        <v/>
      </c>
      <c r="CN25" s="317">
        <f>SUM(CJ25:CM25)</f>
        <v>0</v>
      </c>
      <c r="CO25" s="23">
        <f t="shared" si="9"/>
        <v>14</v>
      </c>
      <c r="CP25" s="246" t="e">
        <f>IF($CP$6=1,CK18,IF($CP$6=2,CK44,""))</f>
        <v>#VALUE!</v>
      </c>
      <c r="CQ25" s="246" t="e">
        <f>IF($CP$6=1,CK19,IF($CP$6=2,CK45,""))</f>
        <v>#VALUE!</v>
      </c>
      <c r="CS25" s="246" t="str">
        <f>集計!B19</f>
        <v>笠原</v>
      </c>
      <c r="CT25" s="584" t="str">
        <f t="shared" si="2"/>
        <v/>
      </c>
      <c r="CU25" s="545" t="e">
        <f t="shared" si="3"/>
        <v>#VALUE!</v>
      </c>
      <c r="CV25" s="585" t="str">
        <f t="shared" si="4"/>
        <v/>
      </c>
      <c r="CX25" s="545" t="e">
        <f>IF(INDEX(シート⑤成績表!$E$11:$W$75,ROW(CX25)-11,シート①入力画面!$CT$9)="","",INDEX(シート⑤成績表!$E$11:$W$75,ROW(CX25)-11,シート①入力画面!$CT$9))</f>
        <v>#VALUE!</v>
      </c>
      <c r="DC25" s="261"/>
    </row>
    <row r="26" spans="2:116" ht="21.75" customHeight="1" thickBot="1" x14ac:dyDescent="0.2">
      <c r="B26" s="177">
        <f>COUNTIF($BX$38:$CA$61,G26)</f>
        <v>0</v>
      </c>
      <c r="C26" s="177"/>
      <c r="D26" s="177">
        <f>COUNTIF($BX$38:$CA$61,I26)</f>
        <v>0</v>
      </c>
      <c r="E26" s="177"/>
      <c r="F26" s="350">
        <f>COUNTIF($BX$38:$CA$61,K26)</f>
        <v>0</v>
      </c>
      <c r="G26" s="357" t="str">
        <f>集計!B6</f>
        <v>安藤</v>
      </c>
      <c r="H26" s="371"/>
      <c r="I26" s="357" t="str">
        <f>集計!B27</f>
        <v>小和瀬</v>
      </c>
      <c r="J26" s="374"/>
      <c r="K26" s="357" t="str">
        <f>集計!B48</f>
        <v>松岡</v>
      </c>
      <c r="L26" s="371"/>
      <c r="N26" s="96"/>
      <c r="O26" s="96"/>
      <c r="P26" s="386" t="s">
        <v>330</v>
      </c>
      <c r="Q26" s="387" t="s">
        <v>331</v>
      </c>
      <c r="R26" s="471"/>
      <c r="S26" s="499" t="str">
        <f>IF($CX$6&lt;2,"",IF($CP$6=3,"スコアは[ｼｰﾄ①,④or⑤]の一つのみに記入、開催回数の確認も！",""))</f>
        <v/>
      </c>
      <c r="T26" s="29"/>
      <c r="U26" s="29"/>
      <c r="V26" s="29"/>
      <c r="W26" s="29"/>
      <c r="X26" s="29"/>
      <c r="Y26" s="30"/>
      <c r="Z26" s="96"/>
      <c r="AB26"/>
      <c r="AE26" s="23"/>
      <c r="AF26" s="23"/>
      <c r="AG26" s="23"/>
      <c r="AI26" s="96"/>
      <c r="AL26" s="96"/>
      <c r="AM26" s="96"/>
      <c r="AR26" s="95"/>
      <c r="AS26" s="284"/>
      <c r="AT26" s="538" t="s">
        <v>700</v>
      </c>
      <c r="AZ26" s="310">
        <v>1</v>
      </c>
      <c r="BA26" s="310">
        <v>1</v>
      </c>
      <c r="BB26" s="310">
        <v>1</v>
      </c>
      <c r="BC26" s="311">
        <v>1</v>
      </c>
      <c r="BD26" s="96"/>
      <c r="BF26" s="310">
        <v>1</v>
      </c>
      <c r="BG26" s="310">
        <v>1</v>
      </c>
      <c r="BH26" s="310">
        <v>1</v>
      </c>
      <c r="BI26" s="311">
        <v>1</v>
      </c>
      <c r="BJ26" s="160"/>
      <c r="BK26" s="198"/>
      <c r="BL26" s="528">
        <f>IF($BC$45=2,AZ26,IF($AW$45=1,AZ26,BL26))</f>
        <v>1</v>
      </c>
      <c r="BM26" s="528">
        <f t="shared" ref="BM26" si="30">IF($BC$45=2,BA26,IF($AW$45=1,BA26,BM26))</f>
        <v>1</v>
      </c>
      <c r="BN26" s="528">
        <f t="shared" ref="BN26" si="31">IF($BC$45=2,BB26,IF($AW$45=1,BB26,BN26))</f>
        <v>1</v>
      </c>
      <c r="BO26" s="528">
        <f t="shared" ref="BO26" si="32">IF($BC$45=2,BC26,IF($AW$45=1,BC26,BO26))</f>
        <v>1</v>
      </c>
      <c r="BP26" s="198"/>
      <c r="BQ26" s="160"/>
      <c r="BR26" s="628" t="str">
        <f>IF(AZ26&gt;$BC$127,ROW(AZ26)+COLUMN(AZ26)/100,IF($BC$45=1,VLOOKUP(AZ26,○氏名ﾘｽﾄ,2,FALSE),VLOOKUP(AZ26,$BN$70:$BP$135,3,FALSE)))</f>
        <v xml:space="preserve"> --</v>
      </c>
      <c r="BS26" s="628" t="str">
        <f>IF(BA26&gt;$BC$127,ROW(BA26)+COLUMN(BA26)/100,IF($BC$45=1,VLOOKUP(BA26,○氏名ﾘｽﾄ,2,FALSE),VLOOKUP(BA26,$BN$70:$BP$135,3,FALSE)))</f>
        <v xml:space="preserve"> --</v>
      </c>
      <c r="BT26" s="628" t="str">
        <f>IF(BB26&gt;$BC$127,ROW(BB26)+COLUMN(BB26)/100,IF($BC$45=1,VLOOKUP(BB26,○氏名ﾘｽﾄ,2,FALSE),VLOOKUP(BB26,$BN$70:$BP$135,3,FALSE)))</f>
        <v xml:space="preserve"> --</v>
      </c>
      <c r="BU26" s="629" t="str">
        <f>IF(BC26&gt;$BC$127,ROW(BC26)+COLUMN(BC26)/100,IF($BC$45=1,VLOOKUP(BC26,○氏名ﾘｽﾄ,2,FALSE),VLOOKUP(BC26,$BN$70:$BP$135,3,FALSE)))</f>
        <v xml:space="preserve"> --</v>
      </c>
      <c r="BX26" s="195">
        <f>IF(AZ26&gt;$BC$127,ROW(AZ26)+COLUMN(AZ26)/100,AZ26)</f>
        <v>1</v>
      </c>
      <c r="BY26" s="195">
        <f>IF(BA26&gt;$BC$127,ROW(BA26)+COLUMN(BA26)/100,BA26)</f>
        <v>1</v>
      </c>
      <c r="BZ26" s="195">
        <f>IF(BB26&gt;$BC$127,ROW(BB26)+COLUMN(BB26)/100,BB26)</f>
        <v>1</v>
      </c>
      <c r="CA26" s="230">
        <f>IF(BC26&gt;$BC$127,ROW(BC26)+COLUMN(BC26)/100,BC26)</f>
        <v>1</v>
      </c>
      <c r="CE26" s="196">
        <f>AZ26</f>
        <v>1</v>
      </c>
      <c r="CF26" s="196">
        <f>BA26</f>
        <v>1</v>
      </c>
      <c r="CG26" s="196">
        <f>BB26</f>
        <v>1</v>
      </c>
      <c r="CH26" s="196">
        <f>BC26</f>
        <v>1</v>
      </c>
      <c r="CI26" s="96"/>
      <c r="CJ26" s="196" t="str">
        <f t="shared" ref="CJ26:CM26" si="33">VLOOKUP(CE26,$BN$70:$BS$135,6,FALSE)</f>
        <v xml:space="preserve"> --</v>
      </c>
      <c r="CK26" s="196" t="str">
        <f t="shared" si="33"/>
        <v xml:space="preserve"> --</v>
      </c>
      <c r="CL26" s="196" t="str">
        <f t="shared" si="33"/>
        <v xml:space="preserve"> --</v>
      </c>
      <c r="CM26" s="196" t="str">
        <f t="shared" si="33"/>
        <v xml:space="preserve"> --</v>
      </c>
      <c r="CN26" s="317"/>
      <c r="CO26" s="23">
        <f t="shared" si="9"/>
        <v>15</v>
      </c>
      <c r="CP26" s="246" t="e">
        <f>IF($CP$6=1,CL18,IF($CP$6=2,CL44,""))</f>
        <v>#VALUE!</v>
      </c>
      <c r="CQ26" s="246" t="e">
        <f>IF($CP$6=1,CL19,IF($CP$6=2,CL45,""))</f>
        <v>#VALUE!</v>
      </c>
      <c r="CS26" s="246" t="str">
        <f>集計!B20</f>
        <v>勝田</v>
      </c>
      <c r="CT26" s="584" t="str">
        <f t="shared" si="2"/>
        <v/>
      </c>
      <c r="CU26" s="545" t="e">
        <f t="shared" si="3"/>
        <v>#VALUE!</v>
      </c>
      <c r="CV26" s="585" t="str">
        <f t="shared" si="4"/>
        <v/>
      </c>
      <c r="CX26" s="545" t="e">
        <f>IF(INDEX(シート⑤成績表!$E$11:$W$75,ROW(CX26)-11,シート①入力画面!$CT$9)="","",INDEX(シート⑤成績表!$E$11:$W$75,ROW(CX26)-11,シート①入力画面!$CT$9))</f>
        <v>#VALUE!</v>
      </c>
      <c r="DC26" s="261"/>
    </row>
    <row r="27" spans="2:116" ht="21.75" customHeight="1" thickBot="1" x14ac:dyDescent="0.2">
      <c r="B27" s="177">
        <f t="shared" ref="B27:B46" si="34">COUNTIF($BX$38:$CA$61,G27)</f>
        <v>0</v>
      </c>
      <c r="C27" s="177"/>
      <c r="D27" s="177">
        <f t="shared" ref="D27:D46" si="35">COUNTIF($BX$38:$CA$61,I27)</f>
        <v>0</v>
      </c>
      <c r="E27" s="177"/>
      <c r="F27" s="350">
        <f t="shared" ref="F27:F48" si="36">COUNTIF($BX$38:$CA$61,K27)</f>
        <v>0</v>
      </c>
      <c r="G27" s="344" t="str">
        <f>集計!B7</f>
        <v>飯田</v>
      </c>
      <c r="H27" s="372"/>
      <c r="I27" s="344" t="str">
        <f>集計!B28</f>
        <v>近藤静</v>
      </c>
      <c r="J27" s="375"/>
      <c r="K27" s="344" t="str">
        <f>集計!B49</f>
        <v>豆田</v>
      </c>
      <c r="L27" s="372"/>
      <c r="N27" s="96"/>
      <c r="O27" s="96"/>
      <c r="P27" s="313"/>
      <c r="Q27" s="432"/>
      <c r="R27" s="453" t="str">
        <f>IF($BE$45=1,"",IF(AZ12=1,"",VLOOKUP(VLOOKUP(AZ12,$BR$70:$BS$135,2,FALSE),シート⑤成績表!$C$11:$AF$75,30,FALSE)))</f>
        <v/>
      </c>
      <c r="S27" s="435">
        <f>IF(BR12=" --",ROW(BR12)+COLUMN(BR12)/100,BR12)</f>
        <v>12.7</v>
      </c>
      <c r="T27" s="453" t="str">
        <f>IF($BE$45=1,"",IF(BA12=1,"",VLOOKUP(VLOOKUP(BA12,$BR$70:$BS$135,2,FALSE),シート⑤成績表!$C$11:$AF$75,30,FALSE)))</f>
        <v/>
      </c>
      <c r="U27" s="435">
        <f>IF(BS12=" --",ROW(BS12)+COLUMN(BS12)/100,BS12)</f>
        <v>12.71</v>
      </c>
      <c r="V27" s="453" t="str">
        <f>IF($BE$45=1,"",IF(BB12=1,"",VLOOKUP(VLOOKUP(BB12,$BR$70:$BS$135,2,FALSE),シート⑤成績表!$C$11:$AF$75,30,FALSE)))</f>
        <v/>
      </c>
      <c r="W27" s="435">
        <f>IF(BT12=" --",ROW(BT12)+COLUMN(BT12)/100,BT12)</f>
        <v>12.72</v>
      </c>
      <c r="X27" s="453" t="str">
        <f>IF($BE$45=1,"",IF(BC12=1,"",VLOOKUP(VLOOKUP(BC12,$BR$70:$BS$135,2,FALSE),シート⑤成績表!$C$11:$AF$75,30,FALSE)))</f>
        <v/>
      </c>
      <c r="Y27" s="347">
        <f>IF(BU12=" --",ROW(BU12)+COLUMN(BU12)/100,BU12)</f>
        <v>12.73</v>
      </c>
      <c r="Z27" s="162" t="s">
        <v>74</v>
      </c>
      <c r="AB27"/>
      <c r="AE27" s="23"/>
      <c r="AF27" s="23"/>
      <c r="AG27" s="23"/>
      <c r="AI27" s="96"/>
      <c r="AL27" s="96"/>
      <c r="AM27" s="96"/>
      <c r="AR27" s="95"/>
      <c r="AZ27" s="490"/>
      <c r="BA27" s="491"/>
      <c r="BB27" s="491"/>
      <c r="BC27" s="492"/>
      <c r="BD27" s="96"/>
      <c r="BF27" s="490"/>
      <c r="BG27" s="491"/>
      <c r="BH27" s="491"/>
      <c r="BI27" s="492"/>
      <c r="BJ27" s="160"/>
      <c r="BK27" s="145"/>
      <c r="BL27" s="173"/>
      <c r="BM27" s="196"/>
      <c r="BN27" s="196"/>
      <c r="BO27" s="197"/>
      <c r="BP27" s="198"/>
      <c r="BQ27" s="160"/>
      <c r="BR27" s="630"/>
      <c r="BS27" s="603"/>
      <c r="BT27" s="603"/>
      <c r="BU27" s="631"/>
      <c r="BX27" s="219"/>
      <c r="CA27" s="220"/>
      <c r="CE27" s="204"/>
      <c r="CF27" s="196"/>
      <c r="CG27" s="204"/>
      <c r="CH27" s="206"/>
      <c r="CI27" s="96"/>
      <c r="CJ27" s="196" t="str">
        <f>IF(S42="","",IF(S42=0,"",S42))</f>
        <v/>
      </c>
      <c r="CK27" s="196" t="str">
        <f>IF(U42="","",IF(U42=0,"",U42))</f>
        <v/>
      </c>
      <c r="CL27" s="196" t="str">
        <f>IF(W42="","",IF(W42=0,"",W42))</f>
        <v/>
      </c>
      <c r="CM27" s="196" t="str">
        <f>IF(Y42="","",IF(Y42=0,"",Y42))</f>
        <v/>
      </c>
      <c r="CN27" s="317">
        <f>SUM(CJ27:CM27)</f>
        <v>0</v>
      </c>
      <c r="CO27" s="23">
        <f t="shared" si="9"/>
        <v>16</v>
      </c>
      <c r="CP27" s="246" t="e">
        <f>IF($CP$6=1,CM18,IF($CP$6=2,CM44,""))</f>
        <v>#VALUE!</v>
      </c>
      <c r="CQ27" s="246" t="e">
        <f>IF($CP$6=1,CM19,IF($CP$6=2,CM45,""))</f>
        <v>#VALUE!</v>
      </c>
      <c r="CS27" s="246" t="str">
        <f>集計!B21</f>
        <v>神崎</v>
      </c>
      <c r="CT27" s="584" t="str">
        <f t="shared" si="2"/>
        <v/>
      </c>
      <c r="CU27" s="545" t="e">
        <f t="shared" si="3"/>
        <v>#VALUE!</v>
      </c>
      <c r="CV27" s="585" t="str">
        <f t="shared" si="4"/>
        <v/>
      </c>
      <c r="CX27" s="545" t="e">
        <f>IF(INDEX(シート⑤成績表!$E$11:$W$75,ROW(CX27)-11,シート①入力画面!$CT$9)="","",INDEX(シート⑤成績表!$E$11:$W$75,ROW(CX27)-11,シート①入力画面!$CT$9))</f>
        <v>#VALUE!</v>
      </c>
      <c r="DC27" s="261"/>
    </row>
    <row r="28" spans="2:116" ht="21.75" customHeight="1" thickBot="1" x14ac:dyDescent="0.2">
      <c r="B28" s="177">
        <f t="shared" si="34"/>
        <v>0</v>
      </c>
      <c r="C28" s="177"/>
      <c r="D28" s="177">
        <f t="shared" si="35"/>
        <v>0</v>
      </c>
      <c r="E28" s="177"/>
      <c r="F28" s="350">
        <f t="shared" si="36"/>
        <v>0</v>
      </c>
      <c r="G28" s="344" t="str">
        <f>集計!B8</f>
        <v>五十嵐</v>
      </c>
      <c r="H28" s="372"/>
      <c r="I28" s="344" t="str">
        <f>集計!B29</f>
        <v>近藤裕</v>
      </c>
      <c r="J28" s="375"/>
      <c r="K28" s="344" t="str">
        <f>集計!B50</f>
        <v>三井</v>
      </c>
      <c r="L28" s="372"/>
      <c r="N28" s="96"/>
      <c r="O28" s="96"/>
      <c r="P28" s="385"/>
      <c r="Q28" s="433"/>
      <c r="R28" s="431" t="str">
        <f>IF($BE$45=1,"",IF(AZ12=1,"",VLOOKUP(VLOOKUP(AZ12,$BR$70:$BS$135,2,FALSE),シート⑤成績表!$C$11:$AF$75,29,FALSE)))</f>
        <v/>
      </c>
      <c r="S28" s="287"/>
      <c r="T28" s="377" t="str">
        <f>IF($BE$45=1,"",IF(BA12=1,"",VLOOKUP(VLOOKUP(BA12,$BR$70:$BS$135,2,FALSE),シート⑤成績表!$C$11:$AF$75,29,FALSE)))</f>
        <v/>
      </c>
      <c r="U28" s="287"/>
      <c r="V28" s="377" t="str">
        <f>IF($BE$45=1,"",IF(BB12=1,"",VLOOKUP(VLOOKUP(BB12,$BR$70:$BS$135,2,FALSE),シート⑤成績表!$C$11:$AF$75,29,FALSE)))</f>
        <v/>
      </c>
      <c r="W28" s="287"/>
      <c r="X28" s="377" t="str">
        <f>IF($BE$45=1,"",IF(BO12=1,"",VLOOKUP(VLOOKUP(BO12,$BR$70:$BS$135,2,FALSE),シート⑤成績表!$C$11:$AF$75,29,FALSE)))</f>
        <v/>
      </c>
      <c r="Y28" s="287"/>
      <c r="Z28" s="315" t="s">
        <v>309</v>
      </c>
      <c r="AB28"/>
      <c r="AE28" s="23"/>
      <c r="AF28" s="23"/>
      <c r="AG28" s="23"/>
      <c r="AI28" s="96"/>
      <c r="AL28" s="96"/>
      <c r="AM28" s="96"/>
      <c r="AQ28" s="241"/>
      <c r="AR28" s="95"/>
      <c r="AS28" s="318" t="s">
        <v>237</v>
      </c>
      <c r="AT28" s="323" t="s">
        <v>535</v>
      </c>
      <c r="AW28" s="461" t="s">
        <v>278</v>
      </c>
      <c r="AZ28" s="310">
        <v>1</v>
      </c>
      <c r="BA28" s="310">
        <v>1</v>
      </c>
      <c r="BB28" s="310">
        <v>1</v>
      </c>
      <c r="BC28" s="311">
        <v>1</v>
      </c>
      <c r="BD28" s="96"/>
      <c r="BF28" s="310">
        <v>1</v>
      </c>
      <c r="BG28" s="310">
        <v>1</v>
      </c>
      <c r="BH28" s="310">
        <v>1</v>
      </c>
      <c r="BI28" s="311">
        <v>1</v>
      </c>
      <c r="BL28" s="528">
        <f>IF($BC$45=2,AZ28,IF($AW$45=1,AZ28,BL28))</f>
        <v>1</v>
      </c>
      <c r="BM28" s="528">
        <f t="shared" ref="BM28" si="37">IF($BC$45=2,BA28,IF($AW$45=1,BA28,BM28))</f>
        <v>1</v>
      </c>
      <c r="BN28" s="528">
        <f t="shared" ref="BN28" si="38">IF($BC$45=2,BB28,IF($AW$45=1,BB28,BN28))</f>
        <v>1</v>
      </c>
      <c r="BO28" s="528">
        <f t="shared" ref="BO28" si="39">IF($BC$45=2,BC28,IF($AW$45=1,BC28,BO28))</f>
        <v>1</v>
      </c>
      <c r="BP28" s="96"/>
      <c r="BR28" s="628" t="str">
        <f>IF(AZ28&gt;$BC$127,ROW(AZ28)+COLUMN(AZ28)/100,IF($BC$45=1,VLOOKUP(AZ28,○氏名ﾘｽﾄ,2,FALSE),VLOOKUP(AZ28,$BN$70:$BP$135,3,FALSE)))</f>
        <v xml:space="preserve"> --</v>
      </c>
      <c r="BS28" s="628" t="str">
        <f>IF(BA28&gt;$BC$127,ROW(BA28)+COLUMN(BA28)/100,IF($BC$45=1,VLOOKUP(BA28,○氏名ﾘｽﾄ,2,FALSE),VLOOKUP(BA28,$BN$70:$BP$135,3,FALSE)))</f>
        <v xml:space="preserve"> --</v>
      </c>
      <c r="BT28" s="628" t="str">
        <f>IF(BB28&gt;$BC$127,ROW(BB28)+COLUMN(BB28)/100,IF($BC$45=1,VLOOKUP(BB28,○氏名ﾘｽﾄ,2,FALSE),VLOOKUP(BB28,$BN$70:$BP$135,3,FALSE)))</f>
        <v xml:space="preserve"> --</v>
      </c>
      <c r="BU28" s="629" t="str">
        <f>IF(BC28&gt;$BC$127,ROW(BC28)+COLUMN(BC28)/100,IF($BC$45=1,VLOOKUP(BC28,○氏名ﾘｽﾄ,2,FALSE),VLOOKUP(BC28,$BN$70:$BP$135,3,FALSE)))</f>
        <v xml:space="preserve"> --</v>
      </c>
      <c r="BX28" s="195">
        <f>IF(AZ28&gt;$BC$127,ROW(AZ28)+COLUMN(AZ28)/100,AZ28)</f>
        <v>1</v>
      </c>
      <c r="BY28" s="195">
        <f>IF(BA28&gt;$BC$127,ROW(BA28)+COLUMN(BA28)/100,BA28)</f>
        <v>1</v>
      </c>
      <c r="BZ28" s="195">
        <f>IF(BB28&gt;$BC$127,ROW(BB28)+COLUMN(BB28)/100,BB28)</f>
        <v>1</v>
      </c>
      <c r="CA28" s="230">
        <f>IF(BC28&gt;$BC$127,ROW(BC28)+COLUMN(BC28)/100,BC28)</f>
        <v>1</v>
      </c>
      <c r="CE28" s="196">
        <f>AZ28</f>
        <v>1</v>
      </c>
      <c r="CF28" s="196">
        <f>BA28</f>
        <v>1</v>
      </c>
      <c r="CG28" s="196">
        <f>BB28</f>
        <v>1</v>
      </c>
      <c r="CH28" s="196">
        <f>BC28</f>
        <v>1</v>
      </c>
      <c r="CI28" s="96"/>
      <c r="CJ28" s="196" t="str">
        <f t="shared" ref="CJ28:CM28" si="40">VLOOKUP(CE28,$BN$70:$BS$135,6,FALSE)</f>
        <v xml:space="preserve"> --</v>
      </c>
      <c r="CK28" s="196" t="str">
        <f t="shared" si="40"/>
        <v xml:space="preserve"> --</v>
      </c>
      <c r="CL28" s="196" t="str">
        <f t="shared" si="40"/>
        <v xml:space="preserve"> --</v>
      </c>
      <c r="CM28" s="196" t="str">
        <f t="shared" si="40"/>
        <v xml:space="preserve"> --</v>
      </c>
      <c r="CN28" s="317"/>
      <c r="CO28" s="23">
        <f t="shared" si="9"/>
        <v>17</v>
      </c>
      <c r="CP28" s="246" t="e">
        <f>IF($CP$6=1,CJ20,IF($CP$6=2,CJ46,""))</f>
        <v>#VALUE!</v>
      </c>
      <c r="CQ28" s="246" t="e">
        <f>IF($CP$6=1,CJ21,IF($CP$6=2,CJ47,""))</f>
        <v>#VALUE!</v>
      </c>
      <c r="CS28" s="246" t="str">
        <f>集計!B22</f>
        <v>神林</v>
      </c>
      <c r="CT28" s="584" t="str">
        <f t="shared" si="2"/>
        <v/>
      </c>
      <c r="CU28" s="545" t="e">
        <f t="shared" si="3"/>
        <v>#VALUE!</v>
      </c>
      <c r="CV28" s="585" t="str">
        <f t="shared" si="4"/>
        <v/>
      </c>
      <c r="CX28" s="545" t="e">
        <f>IF(INDEX(シート⑤成績表!$E$11:$W$75,ROW(CX28)-11,シート①入力画面!$CT$9)="","",INDEX(シート⑤成績表!$E$11:$W$75,ROW(CX28)-11,シート①入力画面!$CT$9))</f>
        <v>#VALUE!</v>
      </c>
      <c r="DC28" s="261"/>
    </row>
    <row r="29" spans="2:116" ht="21.75" customHeight="1" thickBot="1" x14ac:dyDescent="0.2">
      <c r="B29" s="177">
        <f t="shared" si="34"/>
        <v>0</v>
      </c>
      <c r="C29" s="177"/>
      <c r="D29" s="177">
        <f t="shared" si="35"/>
        <v>0</v>
      </c>
      <c r="E29" s="177"/>
      <c r="F29" s="350">
        <f t="shared" si="36"/>
        <v>0</v>
      </c>
      <c r="G29" s="344" t="str">
        <f>集計!B9</f>
        <v>市来</v>
      </c>
      <c r="H29" s="372"/>
      <c r="I29" s="344" t="str">
        <f>集計!B30</f>
        <v>坂本</v>
      </c>
      <c r="J29" s="375"/>
      <c r="K29" s="344" t="str">
        <f>集計!B51</f>
        <v>南村</v>
      </c>
      <c r="L29" s="372"/>
      <c r="N29" s="96"/>
      <c r="O29" s="96"/>
      <c r="P29" s="313"/>
      <c r="Q29" s="434"/>
      <c r="R29" s="453" t="str">
        <f>IF($BE$45=1,"",IF(AZ14=1,"",VLOOKUP(VLOOKUP(AZ14,$BR$70:$BS$135,2,FALSE),シート⑤成績表!$C$11:$AF$75,30,FALSE)))</f>
        <v/>
      </c>
      <c r="S29" s="347">
        <f>IF(BR14=" --",ROW(BR14)+COLUMN(BR14)/100,BR14)</f>
        <v>14.7</v>
      </c>
      <c r="T29" s="453" t="str">
        <f>IF($BE$45=1,"",IF(BA14=1,"",VLOOKUP(VLOOKUP(BA14,$BR$70:$BS$135,2,FALSE),シート⑤成績表!$C$11:$AF$75,30,FALSE)))</f>
        <v/>
      </c>
      <c r="U29" s="347">
        <f>IF(BS14=" --",ROW(BS14)+COLUMN(BS14)/100,BS14)</f>
        <v>14.71</v>
      </c>
      <c r="V29" s="453" t="str">
        <f>IF($BE$45=1,"",IF(BB14=1,"",VLOOKUP(VLOOKUP(BB14,$BR$70:$BS$135,2,FALSE),シート⑤成績表!$C$11:$AF$75,30,FALSE)))</f>
        <v/>
      </c>
      <c r="W29" s="347">
        <f>IF(BT14=" --",ROW(BT14)+COLUMN(BT14)/100,BT14)</f>
        <v>14.72</v>
      </c>
      <c r="X29" s="453" t="str">
        <f>IF($BE$45=1,"",IF(BC14=1,"",VLOOKUP(VLOOKUP(BC14,$BR$70:$BS$135,2,FALSE),シート⑤成績表!$C$11:$AF$75,30,FALSE)))</f>
        <v/>
      </c>
      <c r="Y29" s="347">
        <f>IF(BU14=" --",ROW(BU14)+COLUMN(BU14)/100,BU14)</f>
        <v>14.73</v>
      </c>
      <c r="Z29" s="401" t="s">
        <v>310</v>
      </c>
      <c r="AB29"/>
      <c r="AE29" s="23"/>
      <c r="AF29" s="23"/>
      <c r="AG29" s="23"/>
      <c r="AI29" s="96"/>
      <c r="AL29" s="96"/>
      <c r="AM29" s="96"/>
      <c r="AQ29" s="241"/>
      <c r="AR29" s="95"/>
      <c r="AS29" s="322"/>
      <c r="AT29" s="324" t="s">
        <v>487</v>
      </c>
      <c r="AW29" s="461" t="s">
        <v>265</v>
      </c>
      <c r="AZ29" s="490"/>
      <c r="BA29" s="491"/>
      <c r="BB29" s="491"/>
      <c r="BC29" s="492"/>
      <c r="BD29" s="96"/>
      <c r="BF29" s="490"/>
      <c r="BG29" s="491"/>
      <c r="BH29" s="491"/>
      <c r="BI29" s="492"/>
      <c r="BL29" s="173"/>
      <c r="BM29" s="196"/>
      <c r="BN29" s="196"/>
      <c r="BO29" s="197"/>
      <c r="BP29" s="96"/>
      <c r="BR29" s="630"/>
      <c r="BS29" s="603"/>
      <c r="BT29" s="603"/>
      <c r="BU29" s="631"/>
      <c r="BX29" s="219"/>
      <c r="CA29" s="220"/>
      <c r="CE29" s="204"/>
      <c r="CF29" s="196"/>
      <c r="CG29" s="204"/>
      <c r="CH29" s="206"/>
      <c r="CI29" s="96"/>
      <c r="CJ29" s="196" t="str">
        <f>IF(S44="","",IF(S44=0,"",S44))</f>
        <v/>
      </c>
      <c r="CK29" s="196" t="str">
        <f>IF(U44="","",IF(U44=0,"",U44))</f>
        <v/>
      </c>
      <c r="CL29" s="196" t="str">
        <f>IF(W44="","",IF(W44=0,"",W44))</f>
        <v/>
      </c>
      <c r="CM29" s="196" t="str">
        <f>IF(Y44="","",IF(Y44=0,"",Y44))</f>
        <v/>
      </c>
      <c r="CN29" s="317">
        <f>SUM(CJ29:CM29)</f>
        <v>0</v>
      </c>
      <c r="CO29" s="23">
        <f t="shared" si="9"/>
        <v>18</v>
      </c>
      <c r="CP29" s="246" t="e">
        <f>IF($CP$6=1,CK20,IF($CP$6=2,CK46,""))</f>
        <v>#VALUE!</v>
      </c>
      <c r="CQ29" s="246" t="e">
        <f>IF($CP$6=1,CK21,IF($CP$6=2,CK47,""))</f>
        <v>#VALUE!</v>
      </c>
      <c r="CS29" s="246" t="str">
        <f>集計!B23</f>
        <v>君島</v>
      </c>
      <c r="CT29" s="584" t="str">
        <f t="shared" si="2"/>
        <v/>
      </c>
      <c r="CU29" s="545" t="e">
        <f t="shared" si="3"/>
        <v>#VALUE!</v>
      </c>
      <c r="CV29" s="585" t="str">
        <f t="shared" si="4"/>
        <v/>
      </c>
      <c r="CX29" s="545" t="e">
        <f>IF(INDEX(シート⑤成績表!$E$11:$W$75,ROW(CX29)-11,シート①入力画面!$CT$9)="","",INDEX(シート⑤成績表!$E$11:$W$75,ROW(CX29)-11,シート①入力画面!$CT$9))</f>
        <v>#VALUE!</v>
      </c>
      <c r="DC29" s="261"/>
    </row>
    <row r="30" spans="2:116" ht="21.75" customHeight="1" thickBot="1" x14ac:dyDescent="0.2">
      <c r="B30" s="177">
        <f t="shared" si="34"/>
        <v>0</v>
      </c>
      <c r="C30" s="177"/>
      <c r="D30" s="177">
        <f t="shared" si="35"/>
        <v>0</v>
      </c>
      <c r="E30" s="177"/>
      <c r="F30" s="350">
        <f t="shared" si="36"/>
        <v>0</v>
      </c>
      <c r="G30" s="344" t="str">
        <f>集計!B10</f>
        <v>伊藤</v>
      </c>
      <c r="H30" s="372"/>
      <c r="I30" s="344" t="str">
        <f>集計!B31</f>
        <v>佐藤清</v>
      </c>
      <c r="J30" s="375"/>
      <c r="K30" s="344" t="str">
        <f>集計!B52</f>
        <v>宮田</v>
      </c>
      <c r="L30" s="372"/>
      <c r="N30" s="96"/>
      <c r="O30" s="96"/>
      <c r="P30" s="385"/>
      <c r="Q30" s="433"/>
      <c r="R30" s="431" t="str">
        <f>IF($BE$45=1,"",IF(AZ14=1,"",VLOOKUP(VLOOKUP(AZ14,$BR$70:$BS$135,2,FALSE),シート⑤成績表!$C$11:$AF$75,29,FALSE)))</f>
        <v/>
      </c>
      <c r="S30" s="287"/>
      <c r="T30" s="377" t="str">
        <f>IF($BE$45=1,"",IF(BA14=1,"",VLOOKUP(VLOOKUP(BA14,$BR$70:$BS$135,2,FALSE),シート⑤成績表!$C$11:$AF$75,29,FALSE)))</f>
        <v/>
      </c>
      <c r="U30" s="287"/>
      <c r="V30" s="377" t="str">
        <f>IF($BE$45=1,"",IF(BB14=1,"",VLOOKUP(VLOOKUP(BB14,$BR$70:$BS$135,2,FALSE),シート⑤成績表!$C$11:$AF$75,29,FALSE)))</f>
        <v/>
      </c>
      <c r="W30" s="287"/>
      <c r="X30" s="377" t="str">
        <f>IF($BE$45=1,"",IF(BO14=1,"",VLOOKUP(VLOOKUP(BO14,$BR$70:$BS$135,2,FALSE),シート⑤成績表!$C$11:$AF$75,29,FALSE)))</f>
        <v/>
      </c>
      <c r="Y30" s="287"/>
      <c r="Z30" s="96"/>
      <c r="AA30" s="112"/>
      <c r="AB30"/>
      <c r="AD30" s="242" t="s">
        <v>281</v>
      </c>
      <c r="AE30" s="23"/>
      <c r="AF30" s="23"/>
      <c r="AG30" s="23"/>
      <c r="AI30" s="96"/>
      <c r="AL30" s="96"/>
      <c r="AM30" s="96"/>
      <c r="AQ30" s="241"/>
      <c r="AR30" s="259"/>
      <c r="AS30" s="268"/>
      <c r="AT30" s="324" t="s">
        <v>534</v>
      </c>
      <c r="AW30" s="289" t="s">
        <v>302</v>
      </c>
      <c r="AX30" s="259"/>
      <c r="AZ30" s="310">
        <v>1</v>
      </c>
      <c r="BA30" s="310">
        <v>1</v>
      </c>
      <c r="BB30" s="310">
        <v>1</v>
      </c>
      <c r="BC30" s="311">
        <v>1</v>
      </c>
      <c r="BD30" s="96"/>
      <c r="BF30" s="310">
        <v>1</v>
      </c>
      <c r="BG30" s="310">
        <v>1</v>
      </c>
      <c r="BH30" s="310">
        <v>1</v>
      </c>
      <c r="BI30" s="311">
        <v>1</v>
      </c>
      <c r="BL30" s="528">
        <f>IF($BC$45=2,AZ30,IF($AW$45=1,AZ30,BL30))</f>
        <v>1</v>
      </c>
      <c r="BM30" s="528">
        <f t="shared" ref="BM30" si="41">IF($BC$45=2,BA30,IF($AW$45=1,BA30,BM30))</f>
        <v>1</v>
      </c>
      <c r="BN30" s="528">
        <f t="shared" ref="BN30" si="42">IF($BC$45=2,BB30,IF($AW$45=1,BB30,BN30))</f>
        <v>1</v>
      </c>
      <c r="BO30" s="528">
        <f t="shared" ref="BO30" si="43">IF($BC$45=2,BC30,IF($AW$45=1,BC30,BO30))</f>
        <v>1</v>
      </c>
      <c r="BP30" s="96"/>
      <c r="BR30" s="628" t="str">
        <f>IF(AZ30&gt;$BC$127,ROW(AZ30)+COLUMN(AZ30)/100,IF($BC$45=1,VLOOKUP(AZ30,○氏名ﾘｽﾄ,2,FALSE),VLOOKUP(AZ30,$BN$70:$BP$135,3,FALSE)))</f>
        <v xml:space="preserve"> --</v>
      </c>
      <c r="BS30" s="628" t="str">
        <f>IF(BA30&gt;$BC$127,ROW(BA30)+COLUMN(BA30)/100,IF($BC$45=1,VLOOKUP(BA30,○氏名ﾘｽﾄ,2,FALSE),VLOOKUP(BA30,$BN$70:$BP$135,3,FALSE)))</f>
        <v xml:space="preserve"> --</v>
      </c>
      <c r="BT30" s="628" t="str">
        <f>IF(BB30&gt;$BC$127,ROW(BB30)+COLUMN(BB30)/100,IF($BC$45=1,VLOOKUP(BB30,○氏名ﾘｽﾄ,2,FALSE),VLOOKUP(BB30,$BN$70:$BP$135,3,FALSE)))</f>
        <v xml:space="preserve"> --</v>
      </c>
      <c r="BU30" s="629" t="str">
        <f>IF(BC30&gt;$BC$127,ROW(BC30)+COLUMN(BC30)/100,IF($BC$45=1,VLOOKUP(BC30,○氏名ﾘｽﾄ,2,FALSE),VLOOKUP(BC30,$BN$70:$BP$135,3,FALSE)))</f>
        <v xml:space="preserve"> --</v>
      </c>
      <c r="BX30" s="195">
        <f>IF(AZ30&gt;$BC$127,ROW(AZ30)+COLUMN(AZ30)/100,AZ30)</f>
        <v>1</v>
      </c>
      <c r="BY30" s="195">
        <f>IF(BA30&gt;$BC$127,ROW(BA30)+COLUMN(BA30)/100,BA30)</f>
        <v>1</v>
      </c>
      <c r="BZ30" s="195">
        <f>IF(BB30&gt;$BC$127,ROW(BB30)+COLUMN(BB30)/100,BB30)</f>
        <v>1</v>
      </c>
      <c r="CA30" s="230">
        <f>IF(BC30&gt;$BC$127,ROW(BC30)+COLUMN(BC30)/100,BC30)</f>
        <v>1</v>
      </c>
      <c r="CE30" s="196">
        <f>AZ30</f>
        <v>1</v>
      </c>
      <c r="CF30" s="196">
        <f>BA30</f>
        <v>1</v>
      </c>
      <c r="CG30" s="196">
        <f>BB30</f>
        <v>1</v>
      </c>
      <c r="CH30" s="196">
        <f>BC30</f>
        <v>1</v>
      </c>
      <c r="CI30" s="96"/>
      <c r="CJ30" s="196" t="str">
        <f t="shared" ref="CJ30" si="44">VLOOKUP(CE30,$BN$70:$BS$135,6,FALSE)</f>
        <v xml:space="preserve"> --</v>
      </c>
      <c r="CK30" s="196" t="str">
        <f>VLOOKUP(CF30,$BN$70:$BS$135,6,FALSE)</f>
        <v xml:space="preserve"> --</v>
      </c>
      <c r="CL30" s="196" t="str">
        <f t="shared" ref="CL30:CM30" si="45">VLOOKUP(CG30,$BN$70:$BS$135,6,FALSE)</f>
        <v xml:space="preserve"> --</v>
      </c>
      <c r="CM30" s="196" t="str">
        <f t="shared" si="45"/>
        <v xml:space="preserve"> --</v>
      </c>
      <c r="CN30" s="317"/>
      <c r="CO30" s="23">
        <f t="shared" si="9"/>
        <v>19</v>
      </c>
      <c r="CP30" s="246" t="e">
        <f>IF($CP$6=1,CL20,IF($CP$6=2,CL46,""))</f>
        <v>#VALUE!</v>
      </c>
      <c r="CQ30" s="246" t="e">
        <f>IF($CP$6=1,CL21,IF($CP$6=2,CL47,""))</f>
        <v>#VALUE!</v>
      </c>
      <c r="CS30" s="246" t="str">
        <f>集計!B24</f>
        <v>郷間</v>
      </c>
      <c r="CT30" s="584" t="str">
        <f t="shared" si="2"/>
        <v/>
      </c>
      <c r="CU30" s="545" t="e">
        <f t="shared" si="3"/>
        <v>#VALUE!</v>
      </c>
      <c r="CV30" s="585" t="str">
        <f t="shared" si="4"/>
        <v/>
      </c>
      <c r="CX30" s="545" t="e">
        <f>IF(INDEX(シート⑤成績表!$E$11:$W$75,ROW(CX30)-11,シート①入力画面!$CT$9)="","",INDEX(シート⑤成績表!$E$11:$W$75,ROW(CX30)-11,シート①入力画面!$CT$9))</f>
        <v>#VALUE!</v>
      </c>
      <c r="DC30" s="261"/>
    </row>
    <row r="31" spans="2:116" ht="21.75" customHeight="1" thickBot="1" x14ac:dyDescent="0.2">
      <c r="B31" s="177">
        <f t="shared" si="34"/>
        <v>0</v>
      </c>
      <c r="C31" s="177"/>
      <c r="D31" s="177">
        <f t="shared" si="35"/>
        <v>0</v>
      </c>
      <c r="E31" s="177"/>
      <c r="F31" s="350">
        <f t="shared" si="36"/>
        <v>0</v>
      </c>
      <c r="G31" s="344" t="str">
        <f>集計!B11</f>
        <v>上田</v>
      </c>
      <c r="H31" s="372"/>
      <c r="I31" s="344" t="str">
        <f>集計!B32</f>
        <v>里中</v>
      </c>
      <c r="J31" s="375"/>
      <c r="K31" s="344" t="str">
        <f>集計!B53</f>
        <v>村上</v>
      </c>
      <c r="L31" s="372"/>
      <c r="N31" s="96"/>
      <c r="O31" s="96"/>
      <c r="P31" s="313"/>
      <c r="Q31" s="434"/>
      <c r="R31" s="453" t="str">
        <f>IF($BE$45=1,"",IF(AZ16=1,"",VLOOKUP(VLOOKUP(AZ16,$BR$70:$BS$135,2,FALSE),シート⑤成績表!$C$11:$AF$75,30,FALSE)))</f>
        <v/>
      </c>
      <c r="S31" s="347">
        <f>IF(BR16=" --",ROW(BR16)+COLUMN(BR16)/100,BR16)</f>
        <v>16.7</v>
      </c>
      <c r="T31" s="453" t="str">
        <f>IF($BE$45=1,"",IF(BA16=1,"",VLOOKUP(VLOOKUP(BA16,$BR$70:$BS$135,2,FALSE),シート⑤成績表!$C$11:$AF$75,30,FALSE)))</f>
        <v/>
      </c>
      <c r="U31" s="347">
        <f>IF(BS16=" --",ROW(BS16)+COLUMN(BS16)/100,BS16)</f>
        <v>16.71</v>
      </c>
      <c r="V31" s="453" t="str">
        <f>IF($BE$45=1,"",IF(BB16=1,"",VLOOKUP(VLOOKUP(BB16,$BR$70:$BS$135,2,FALSE),シート⑤成績表!$C$11:$AF$75,30,FALSE)))</f>
        <v/>
      </c>
      <c r="W31" s="347">
        <f>IF(BT16=" --",ROW(BT16)+COLUMN(BT16)/100,BT16)</f>
        <v>16.72</v>
      </c>
      <c r="X31" s="453" t="str">
        <f>IF($BE$45=1,"",IF(BC16=1,"",VLOOKUP(VLOOKUP(BC16,$BR$70:$BS$135,2,FALSE),シート⑤成績表!$C$11:$AF$75,30,FALSE)))</f>
        <v/>
      </c>
      <c r="Y31" s="347">
        <f>IF(BU16=" --",ROW(BU16)+COLUMN(BU16)/100,BU16)</f>
        <v>16.73</v>
      </c>
      <c r="Z31" s="113"/>
      <c r="AA31" s="113"/>
      <c r="AB31"/>
      <c r="AE31" s="23"/>
      <c r="AF31" s="23"/>
      <c r="AG31" s="23"/>
      <c r="AI31" s="96"/>
      <c r="AL31" s="96"/>
      <c r="AM31" s="96"/>
      <c r="AR31" s="95"/>
      <c r="AS31" s="322"/>
      <c r="AT31" s="324" t="s">
        <v>486</v>
      </c>
      <c r="AZ31" s="578"/>
      <c r="BA31" s="579"/>
      <c r="BB31" s="579"/>
      <c r="BC31" s="580"/>
      <c r="BD31" s="96"/>
      <c r="BF31" s="578"/>
      <c r="BG31" s="579"/>
      <c r="BH31" s="579"/>
      <c r="BI31" s="580"/>
      <c r="BL31" s="174"/>
      <c r="BM31" s="316"/>
      <c r="BN31" s="316"/>
      <c r="BO31" s="604"/>
      <c r="BP31" s="96"/>
      <c r="BR31" s="632"/>
      <c r="BS31" s="633"/>
      <c r="BT31" s="633"/>
      <c r="BU31" s="634"/>
      <c r="BX31" s="221"/>
      <c r="BY31" s="102"/>
      <c r="BZ31" s="102"/>
      <c r="CA31" s="222"/>
      <c r="CE31" s="204"/>
      <c r="CF31" s="196"/>
      <c r="CG31" s="204"/>
      <c r="CH31" s="206"/>
      <c r="CI31" s="96"/>
      <c r="CJ31" s="196" t="str">
        <f>IF(S46="","",IF(S46=0,"",S46))</f>
        <v/>
      </c>
      <c r="CK31" s="196" t="str">
        <f>IF(U46="","",IF(U46=0,"",U46))</f>
        <v/>
      </c>
      <c r="CL31" s="196" t="str">
        <f>IF(W46="","",IF(W46=0,"",W46))</f>
        <v/>
      </c>
      <c r="CM31" s="316" t="str">
        <f>IF(Y46="","",IF(Y46=0,"",Y46))</f>
        <v/>
      </c>
      <c r="CN31" s="203">
        <f>SUM(CJ31:CM31)</f>
        <v>0</v>
      </c>
      <c r="CO31" s="23">
        <f t="shared" si="9"/>
        <v>20</v>
      </c>
      <c r="CP31" s="246" t="e">
        <f>IF($CP$6=1,CM20,IF($CP$6=2,CM46,""))</f>
        <v>#VALUE!</v>
      </c>
      <c r="CQ31" s="246" t="e">
        <f>IF($CP$6=1,CM21,IF($CP$6=2,CM47,""))</f>
        <v>#VALUE!</v>
      </c>
      <c r="CS31" s="246" t="str">
        <f>集計!B25</f>
        <v>小林邦</v>
      </c>
      <c r="CT31" s="584" t="str">
        <f t="shared" si="2"/>
        <v/>
      </c>
      <c r="CU31" s="545" t="e">
        <f t="shared" si="3"/>
        <v>#VALUE!</v>
      </c>
      <c r="CV31" s="585" t="str">
        <f t="shared" si="4"/>
        <v/>
      </c>
      <c r="CX31" s="545" t="e">
        <f>IF(INDEX(シート⑤成績表!$E$11:$W$75,ROW(CX31)-11,シート①入力画面!$CT$9)="","",INDEX(シート⑤成績表!$E$11:$W$75,ROW(CX31)-11,シート①入力画面!$CT$9))</f>
        <v>#VALUE!</v>
      </c>
      <c r="DC31" s="261"/>
    </row>
    <row r="32" spans="2:116" ht="21.75" customHeight="1" thickBot="1" x14ac:dyDescent="0.2">
      <c r="B32" s="177">
        <f t="shared" si="34"/>
        <v>0</v>
      </c>
      <c r="C32" s="177"/>
      <c r="D32" s="177">
        <f t="shared" si="35"/>
        <v>0</v>
      </c>
      <c r="E32" s="177"/>
      <c r="F32" s="350">
        <f t="shared" si="36"/>
        <v>0</v>
      </c>
      <c r="G32" s="344" t="str">
        <f>集計!B12</f>
        <v>大塩</v>
      </c>
      <c r="H32" s="372"/>
      <c r="I32" s="344" t="str">
        <f>集計!B33</f>
        <v>佐土原</v>
      </c>
      <c r="J32" s="375"/>
      <c r="K32" s="344" t="str">
        <f>集計!B54</f>
        <v>森</v>
      </c>
      <c r="L32" s="372"/>
      <c r="N32" s="96"/>
      <c r="O32" s="96"/>
      <c r="P32" s="385"/>
      <c r="Q32" s="433"/>
      <c r="R32" s="431" t="str">
        <f>IF($BE$45=1,"",IF(AZ16=1,"",VLOOKUP(VLOOKUP(AZ16,$BR$70:$BS$135,2,FALSE),シート⑤成績表!$C$11:$AF$75,29,FALSE)))</f>
        <v/>
      </c>
      <c r="S32" s="287"/>
      <c r="T32" s="377" t="str">
        <f>IF($BE$45=1,"",IF(BA16=1,"",VLOOKUP(VLOOKUP(BA16,$BR$70:$BS$135,2,FALSE),シート⑤成績表!$C$11:$AF$75,29,FALSE)))</f>
        <v/>
      </c>
      <c r="U32" s="287"/>
      <c r="V32" s="377" t="str">
        <f>IF($BE$45=1,"",IF(BB16=1,"",VLOOKUP(VLOOKUP(BB16,$BR$70:$BS$135,2,FALSE),シート⑤成績表!$C$11:$AF$75,29,FALSE)))</f>
        <v/>
      </c>
      <c r="W32" s="287"/>
      <c r="X32" s="377" t="str">
        <f>IF($BE$45=1,"",IF(BO16=1,"",VLOOKUP(VLOOKUP(BO16,$BR$70:$BS$135,2,FALSE),シート⑤成績表!$C$11:$AF$75,29,FALSE)))</f>
        <v/>
      </c>
      <c r="Y32" s="287"/>
      <c r="Z32" s="112"/>
      <c r="AA32" s="112"/>
      <c r="AB32"/>
      <c r="AE32" s="23"/>
      <c r="AF32" s="23"/>
      <c r="AG32" s="23"/>
      <c r="AI32" s="96"/>
      <c r="AL32" s="96"/>
      <c r="AM32" s="96"/>
      <c r="AP32" s="134"/>
      <c r="AR32" s="95"/>
      <c r="AS32" s="322"/>
      <c r="AT32" s="324" t="s">
        <v>489</v>
      </c>
      <c r="AV32" s="134"/>
      <c r="AW32" s="462" t="s">
        <v>300</v>
      </c>
      <c r="AZ32" s="310">
        <v>1</v>
      </c>
      <c r="BA32" s="650">
        <v>1</v>
      </c>
      <c r="BB32" s="650">
        <v>1</v>
      </c>
      <c r="BC32" s="651">
        <v>1</v>
      </c>
      <c r="BF32" s="310">
        <v>1</v>
      </c>
      <c r="BG32" s="650">
        <v>1</v>
      </c>
      <c r="BH32" s="650">
        <v>1</v>
      </c>
      <c r="BI32" s="651">
        <v>1</v>
      </c>
      <c r="BL32" s="523">
        <f>IF($BC$45=2,AZ32,IF($AW$45=1,AZ32,BL32))</f>
        <v>1</v>
      </c>
      <c r="BM32" s="598">
        <f t="shared" ref="BM32" si="46">IF($BC$45=2,BA32,IF($AW$45=1,BA32,BM32))</f>
        <v>1</v>
      </c>
      <c r="BN32" s="598">
        <f t="shared" ref="BN32" si="47">IF($BC$45=2,BB32,IF($AW$45=1,BB32,BN32))</f>
        <v>1</v>
      </c>
      <c r="BO32" s="599">
        <f t="shared" ref="BO32" si="48">IF($BC$45=2,BC32,IF($AW$45=1,BC32,BO32))</f>
        <v>1</v>
      </c>
      <c r="BP32" s="96"/>
      <c r="BR32" s="628" t="str">
        <f>IF(AZ32&gt;$BC$127,ROW(AZ32)+COLUMN(AZ32)/100,IF($BC$45=1,VLOOKUP(AZ32,○氏名ﾘｽﾄ,2,FALSE),VLOOKUP(AZ32,$BN$70:$BP$135,3,FALSE)))</f>
        <v xml:space="preserve"> --</v>
      </c>
      <c r="BS32" s="628" t="str">
        <f>IF(BA32&gt;$BC$127,ROW(BA32)+COLUMN(BA32)/100,IF($BC$45=1,VLOOKUP(BA32,○氏名ﾘｽﾄ,2,FALSE),VLOOKUP(BA32,$BN$70:$BP$135,3,FALSE)))</f>
        <v xml:space="preserve"> --</v>
      </c>
      <c r="BT32" s="628" t="str">
        <f>IF(BB32&gt;$BC$127,ROW(BB32)+COLUMN(BB32)/100,IF($BC$45=1,VLOOKUP(BB32,○氏名ﾘｽﾄ,2,FALSE),VLOOKUP(BB32,$BN$70:$BP$135,3,FALSE)))</f>
        <v xml:space="preserve"> --</v>
      </c>
      <c r="BU32" s="629" t="str">
        <f>IF(BC32&gt;$BC$127,ROW(BC32)+COLUMN(BC32)/100,IF($BC$45=1,VLOOKUP(BC32,○氏名ﾘｽﾄ,2,FALSE),VLOOKUP(BC32,$BN$70:$BP$135,3,FALSE)))</f>
        <v xml:space="preserve"> --</v>
      </c>
      <c r="BX32" s="195">
        <f>IF(AZ32&gt;$BC$127,ROW(AZ32)+COLUMN(AZ32)/100,AZ32)</f>
        <v>1</v>
      </c>
      <c r="BY32" s="195">
        <f>IF(BA32&gt;$BC$127,ROW(BA32)+COLUMN(BA32)/100,BA32)</f>
        <v>1</v>
      </c>
      <c r="BZ32" s="195">
        <f>IF(BB32&gt;$BC$127,ROW(BB32)+COLUMN(BB32)/100,BB32)</f>
        <v>1</v>
      </c>
      <c r="CA32" s="230">
        <f>IF(BC32&gt;$BC$127,ROW(BC32)+COLUMN(BC32)/100,BC32)</f>
        <v>1</v>
      </c>
      <c r="CE32" s="196">
        <f>AZ32</f>
        <v>1</v>
      </c>
      <c r="CF32" s="196">
        <f>BA32</f>
        <v>1</v>
      </c>
      <c r="CG32" s="196">
        <f>BB32</f>
        <v>1</v>
      </c>
      <c r="CH32" s="196">
        <f>BC32</f>
        <v>1</v>
      </c>
      <c r="CI32" s="96"/>
      <c r="CJ32" s="196" t="str">
        <f t="shared" ref="CJ32" si="49">VLOOKUP(CE32,$BN$70:$BS$135,6,FALSE)</f>
        <v xml:space="preserve"> --</v>
      </c>
      <c r="CK32" s="196" t="str">
        <f>VLOOKUP(CF32,$BN$70:$BS$135,6,FALSE)</f>
        <v xml:space="preserve"> --</v>
      </c>
      <c r="CL32" s="196" t="str">
        <f t="shared" ref="CL32" si="50">VLOOKUP(CG32,$BN$70:$BS$135,6,FALSE)</f>
        <v xml:space="preserve"> --</v>
      </c>
      <c r="CM32" s="196" t="str">
        <f t="shared" ref="CM32" si="51">VLOOKUP(CH32,$BN$70:$BS$135,6,FALSE)</f>
        <v xml:space="preserve"> --</v>
      </c>
      <c r="CO32" s="23">
        <f t="shared" si="9"/>
        <v>21</v>
      </c>
      <c r="CP32" s="246" t="e">
        <f>IF($CP$6=1,CJ22,IF($CP$6=2,CJ48,""))</f>
        <v>#VALUE!</v>
      </c>
      <c r="CQ32" s="246" t="e">
        <f>IF($CP$6=1,CJ23,IF($CP$6=2,CJ49,""))</f>
        <v>#VALUE!</v>
      </c>
      <c r="CS32" s="246" t="str">
        <f>集計!B26</f>
        <v>小林修</v>
      </c>
      <c r="CT32" s="584" t="str">
        <f t="shared" si="2"/>
        <v/>
      </c>
      <c r="CU32" s="545" t="e">
        <f t="shared" si="3"/>
        <v>#VALUE!</v>
      </c>
      <c r="CV32" s="585" t="str">
        <f t="shared" si="4"/>
        <v/>
      </c>
      <c r="CX32" s="545" t="e">
        <f>IF(INDEX(シート⑤成績表!$E$11:$W$75,ROW(CX32)-11,シート①入力画面!$CT$9)="","",INDEX(シート⑤成績表!$E$11:$W$75,ROW(CX32)-11,シート①入力画面!$CT$9))</f>
        <v>#VALUE!</v>
      </c>
      <c r="DC32" s="261"/>
    </row>
    <row r="33" spans="2:116" ht="21.75" customHeight="1" thickBot="1" x14ac:dyDescent="0.2">
      <c r="B33" s="177">
        <f t="shared" si="34"/>
        <v>0</v>
      </c>
      <c r="C33" s="177"/>
      <c r="D33" s="177">
        <f t="shared" si="35"/>
        <v>0</v>
      </c>
      <c r="E33" s="177"/>
      <c r="F33" s="350">
        <f t="shared" si="36"/>
        <v>0</v>
      </c>
      <c r="G33" s="344" t="str">
        <f>集計!B13</f>
        <v>大橋</v>
      </c>
      <c r="H33" s="372"/>
      <c r="I33" s="344" t="str">
        <f>集計!B34</f>
        <v>塩崎</v>
      </c>
      <c r="J33" s="375"/>
      <c r="K33" s="344" t="str">
        <f>集計!B55</f>
        <v>山中</v>
      </c>
      <c r="L33" s="372"/>
      <c r="N33" s="96"/>
      <c r="O33" s="96"/>
      <c r="P33" s="313"/>
      <c r="Q33" s="434"/>
      <c r="R33" s="453" t="str">
        <f>IF($BE$45=1,"",IF(AZ18=1,"",VLOOKUP(VLOOKUP(AZ18,$BR$70:$BS$135,2,FALSE),シート⑤成績表!$C$11:$AF$75,30,FALSE)))</f>
        <v/>
      </c>
      <c r="S33" s="347">
        <f>IF(BR18=" --",ROW(BR18)+COLUMN(BR18)/100,BR18)</f>
        <v>18.7</v>
      </c>
      <c r="T33" s="453" t="str">
        <f>IF($BE$45=1,"",IF(BA18=1,"",VLOOKUP(VLOOKUP(BA18,$BR$70:$BS$135,2,FALSE),シート⑤成績表!$C$11:$AF$75,30,FALSE)))</f>
        <v/>
      </c>
      <c r="U33" s="347">
        <f>IF(BS18=" --",ROW(BS18)+COLUMN(BS18)/100,BS18)</f>
        <v>18.71</v>
      </c>
      <c r="V33" s="453" t="str">
        <f>IF($BE$45=1,"",IF(BB18=1,"",VLOOKUP(VLOOKUP(BB18,$BR$70:$BS$135,2,FALSE),シート⑤成績表!$C$11:$AF$75,30,FALSE)))</f>
        <v/>
      </c>
      <c r="W33" s="347">
        <f>IF(BT18=" --",ROW(BT18)+COLUMN(BT18)/100,BT18)</f>
        <v>18.72</v>
      </c>
      <c r="X33" s="453" t="str">
        <f>IF($BE$45=1,"",IF(BC18=1,"",VLOOKUP(VLOOKUP(BC18,$BR$70:$BS$135,2,FALSE),シート⑤成績表!$C$11:$AF$75,30,FALSE)))</f>
        <v/>
      </c>
      <c r="Y33" s="347">
        <f>IF(BU18=" --",ROW(BU18)+COLUMN(BU18)/100,BU18)</f>
        <v>18.73</v>
      </c>
      <c r="Z33" s="113"/>
      <c r="AA33" s="113"/>
      <c r="AB33"/>
      <c r="AE33" s="23"/>
      <c r="AF33" s="23"/>
      <c r="AG33" s="23"/>
      <c r="AI33" s="96"/>
      <c r="AL33" s="96"/>
      <c r="AM33" s="96"/>
      <c r="AP33" s="96"/>
      <c r="AR33" s="261"/>
      <c r="AS33" s="319"/>
      <c r="AT33" s="324" t="s">
        <v>485</v>
      </c>
      <c r="AW33" s="462" t="s">
        <v>299</v>
      </c>
      <c r="AZ33" s="578"/>
      <c r="BA33" s="654"/>
      <c r="BB33" s="654"/>
      <c r="BC33" s="580"/>
      <c r="BF33" s="578"/>
      <c r="BG33" s="654"/>
      <c r="BH33" s="654"/>
      <c r="BI33" s="580"/>
      <c r="BL33" s="199"/>
      <c r="BM33" s="200"/>
      <c r="BN33" s="607"/>
      <c r="BO33" s="608"/>
      <c r="BP33" s="96"/>
      <c r="BR33" s="630"/>
      <c r="BS33" s="603"/>
      <c r="BT33" s="603"/>
      <c r="BU33" s="631"/>
      <c r="BX33" s="219"/>
      <c r="CA33" s="220"/>
      <c r="CE33" s="95"/>
      <c r="CG33" s="95"/>
      <c r="CH33" s="96"/>
      <c r="CI33" s="96"/>
      <c r="CJ33" s="196" t="str">
        <f>IF(S48="","",IF(S48=0,"",S48))</f>
        <v/>
      </c>
      <c r="CK33" s="196" t="str">
        <f>IF(U48="","",IF(U48=0,"",U48))</f>
        <v/>
      </c>
      <c r="CL33" s="196" t="str">
        <f>IF(W48="","",IF(W48=0,"",W48))</f>
        <v/>
      </c>
      <c r="CM33" s="316" t="str">
        <f>IF(Y48="","",IF(Y48=0,"",Y48))</f>
        <v/>
      </c>
      <c r="CN33" s="203">
        <f>SUM(CJ33:CM33)</f>
        <v>0</v>
      </c>
      <c r="CO33" s="23">
        <f t="shared" si="9"/>
        <v>22</v>
      </c>
      <c r="CP33" s="246" t="e">
        <f>IF($CP$6=1,CK22,IF($CP$6=2,CK48,""))</f>
        <v>#VALUE!</v>
      </c>
      <c r="CQ33" s="246" t="e">
        <f>IF($CP$6=1,CK23,IF($CP$6=2,CK49,""))</f>
        <v>#VALUE!</v>
      </c>
      <c r="CS33" s="246" t="str">
        <f>集計!B27</f>
        <v>小和瀬</v>
      </c>
      <c r="CT33" s="584" t="str">
        <f t="shared" si="2"/>
        <v/>
      </c>
      <c r="CU33" s="545" t="e">
        <f t="shared" si="3"/>
        <v>#VALUE!</v>
      </c>
      <c r="CV33" s="585" t="str">
        <f t="shared" si="4"/>
        <v/>
      </c>
      <c r="CX33" s="545" t="e">
        <f>IF(INDEX(シート⑤成績表!$E$11:$W$75,ROW(CX33)-11,シート①入力画面!$CT$9)="","",INDEX(シート⑤成績表!$E$11:$W$75,ROW(CX33)-11,シート①入力画面!$CT$9))</f>
        <v>#VALUE!</v>
      </c>
      <c r="DC33" s="261"/>
    </row>
    <row r="34" spans="2:116" ht="21.75" customHeight="1" thickBot="1" x14ac:dyDescent="0.2">
      <c r="B34" s="177">
        <f t="shared" si="34"/>
        <v>0</v>
      </c>
      <c r="C34" s="177"/>
      <c r="D34" s="177">
        <f t="shared" si="35"/>
        <v>0</v>
      </c>
      <c r="E34" s="177"/>
      <c r="F34" s="350">
        <f t="shared" si="36"/>
        <v>0</v>
      </c>
      <c r="G34" s="344" t="str">
        <f>集計!B14</f>
        <v>岡本</v>
      </c>
      <c r="H34" s="372"/>
      <c r="I34" s="344" t="str">
        <f>集計!B35</f>
        <v>鈴木</v>
      </c>
      <c r="J34" s="375"/>
      <c r="K34" s="344" t="str">
        <f>集計!B56</f>
        <v>湯浅</v>
      </c>
      <c r="L34" s="372"/>
      <c r="N34" s="96"/>
      <c r="O34" s="96"/>
      <c r="P34" s="385"/>
      <c r="Q34" s="433"/>
      <c r="R34" s="431" t="str">
        <f>IF($BE$45=1,"",IF(AZ18=1,"",VLOOKUP(VLOOKUP(AZ18,$BR$70:$BS$135,2,FALSE),シート⑤成績表!$C$11:$AF$75,29,FALSE)))</f>
        <v/>
      </c>
      <c r="S34" s="287"/>
      <c r="T34" s="377" t="str">
        <f>IF($BE$45=1,"",IF(BA18=1,"",VLOOKUP(VLOOKUP(BA18,$BR$70:$BS$135,2,FALSE),シート⑤成績表!$C$11:$AF$75,29,FALSE)))</f>
        <v/>
      </c>
      <c r="U34" s="287"/>
      <c r="V34" s="377" t="str">
        <f>IF($BE$45=1,"",IF(BB18=1,"",VLOOKUP(VLOOKUP(BB18,$BR$70:$BS$135,2,FALSE),シート⑤成績表!$C$11:$AF$75,29,FALSE)))</f>
        <v/>
      </c>
      <c r="W34" s="287"/>
      <c r="X34" s="377" t="str">
        <f>IF($BE$45=1,"",IF(BO18=1,"",VLOOKUP(VLOOKUP(BO18,$BR$70:$BS$135,2,FALSE),シート⑤成績表!$C$11:$AF$75,29,FALSE)))</f>
        <v/>
      </c>
      <c r="Y34" s="287"/>
      <c r="Z34" s="112"/>
      <c r="AB34"/>
      <c r="AE34" s="23"/>
      <c r="AF34" s="23"/>
      <c r="AG34" s="23"/>
      <c r="AI34" s="96"/>
      <c r="AL34" s="96"/>
      <c r="AM34" s="96"/>
      <c r="AP34" s="96"/>
      <c r="AR34" s="261"/>
      <c r="AW34" s="289" t="s">
        <v>301</v>
      </c>
      <c r="AZ34" s="652">
        <v>1</v>
      </c>
      <c r="BA34" s="655">
        <v>1</v>
      </c>
      <c r="BB34" s="655">
        <v>1</v>
      </c>
      <c r="BC34" s="653">
        <v>1</v>
      </c>
      <c r="BE34" s="160"/>
      <c r="BF34" s="652">
        <v>1</v>
      </c>
      <c r="BG34" s="655">
        <v>1</v>
      </c>
      <c r="BH34" s="655">
        <v>1</v>
      </c>
      <c r="BI34" s="653">
        <v>1</v>
      </c>
      <c r="BL34" s="600">
        <f>IF($BC$45=2,AZ34,IF($AW$45=1,AZ34,BL34))</f>
        <v>1</v>
      </c>
      <c r="BM34" s="601">
        <f t="shared" ref="BM34" si="52">IF($BC$45=2,BA34,IF($AW$45=1,BA34,BM34))</f>
        <v>1</v>
      </c>
      <c r="BN34" s="601">
        <f t="shared" ref="BN34" si="53">IF($BC$45=2,BB34,IF($AW$45=1,BB34,BN34))</f>
        <v>1</v>
      </c>
      <c r="BO34" s="602">
        <f t="shared" ref="BO34" si="54">IF($BC$45=2,BC34,IF($AW$45=1,BC34,BO34))</f>
        <v>1</v>
      </c>
      <c r="BP34" s="96"/>
      <c r="BR34" s="628" t="str">
        <f>IF(AZ34&gt;$BC$127,ROW(AZ34)+COLUMN(AZ34)/100,IF($BC$45=1,VLOOKUP(AZ34,○氏名ﾘｽﾄ,2,FALSE),VLOOKUP(AZ34,$BN$70:$BP$135,3,FALSE)))</f>
        <v xml:space="preserve"> --</v>
      </c>
      <c r="BS34" s="628" t="str">
        <f>IF(BA34&gt;$BC$127,ROW(BA34)+COLUMN(BA34)/100,IF($BC$45=1,VLOOKUP(BA34,○氏名ﾘｽﾄ,2,FALSE),VLOOKUP(BA34,$BN$70:$BP$135,3,FALSE)))</f>
        <v xml:space="preserve"> --</v>
      </c>
      <c r="BT34" s="628" t="str">
        <f>IF(BB34&gt;$BC$127,ROW(BB34)+COLUMN(BB34)/100,IF($BC$45=1,VLOOKUP(BB34,○氏名ﾘｽﾄ,2,FALSE),VLOOKUP(BB34,$BN$70:$BP$135,3,FALSE)))</f>
        <v xml:space="preserve"> --</v>
      </c>
      <c r="BU34" s="629" t="str">
        <f>IF(BC34&gt;$BC$127,ROW(BC34)+COLUMN(BC34)/100,IF($BC$45=1,VLOOKUP(BC34,○氏名ﾘｽﾄ,2,FALSE),VLOOKUP(BC34,$BN$70:$BP$135,3,FALSE)))</f>
        <v xml:space="preserve"> --</v>
      </c>
      <c r="BX34" s="195">
        <f>IF(AZ34&gt;$BC$127,ROW(AZ34)+COLUMN(AZ34)/100,AZ34)</f>
        <v>1</v>
      </c>
      <c r="BY34" s="195">
        <f>IF(BA34&gt;$BC$127,ROW(BA34)+COLUMN(BA34)/100,BA34)</f>
        <v>1</v>
      </c>
      <c r="BZ34" s="195">
        <f>IF(BB34&gt;$BC$127,ROW(BB34)+COLUMN(BB34)/100,BB34)</f>
        <v>1</v>
      </c>
      <c r="CA34" s="230">
        <f>IF(BC34&gt;$BC$127,ROW(BC34)+COLUMN(BC34)/100,BC34)</f>
        <v>1</v>
      </c>
      <c r="CE34" s="196">
        <f>AZ34</f>
        <v>1</v>
      </c>
      <c r="CF34" s="196">
        <f>BA34</f>
        <v>1</v>
      </c>
      <c r="CG34" s="196">
        <f>BB34</f>
        <v>1</v>
      </c>
      <c r="CH34" s="196">
        <f>BC34</f>
        <v>1</v>
      </c>
      <c r="CJ34" s="196" t="str">
        <f t="shared" ref="CJ34" si="55">VLOOKUP(CE34,$BN$70:$BS$135,6,FALSE)</f>
        <v xml:space="preserve"> --</v>
      </c>
      <c r="CK34" s="196" t="str">
        <f>VLOOKUP(CF34,$BN$70:$BS$135,6,FALSE)</f>
        <v xml:space="preserve"> --</v>
      </c>
      <c r="CL34" s="196" t="str">
        <f t="shared" ref="CL34" si="56">VLOOKUP(CG34,$BN$70:$BS$135,6,FALSE)</f>
        <v xml:space="preserve"> --</v>
      </c>
      <c r="CM34" s="196" t="str">
        <f t="shared" ref="CM34" si="57">VLOOKUP(CH34,$BN$70:$BS$135,6,FALSE)</f>
        <v xml:space="preserve"> --</v>
      </c>
      <c r="CO34" s="23">
        <f t="shared" si="9"/>
        <v>23</v>
      </c>
      <c r="CP34" s="246" t="e">
        <f>IF($CP$6=1,CL22,IF($CP$6=2,CL48,""))</f>
        <v>#VALUE!</v>
      </c>
      <c r="CQ34" s="246" t="e">
        <f>IF($CP$6=1,CL23,IF($CP$6=2,CL49,""))</f>
        <v>#VALUE!</v>
      </c>
      <c r="CS34" s="246" t="str">
        <f>集計!B28</f>
        <v>近藤静</v>
      </c>
      <c r="CT34" s="584" t="str">
        <f t="shared" si="2"/>
        <v/>
      </c>
      <c r="CU34" s="545" t="e">
        <f t="shared" si="3"/>
        <v>#VALUE!</v>
      </c>
      <c r="CV34" s="585" t="str">
        <f t="shared" si="4"/>
        <v/>
      </c>
      <c r="CW34" s="96"/>
      <c r="CX34" s="545" t="e">
        <f>IF(INDEX(シート⑤成績表!$E$11:$W$75,ROW(CX34)-11,シート①入力画面!$CT$9)="","",INDEX(シート⑤成績表!$E$11:$W$75,ROW(CX34)-11,シート①入力画面!$CT$9))</f>
        <v>#VALUE!</v>
      </c>
      <c r="DC34" s="261"/>
    </row>
    <row r="35" spans="2:116" ht="21.75" customHeight="1" thickBot="1" x14ac:dyDescent="0.2">
      <c r="B35" s="177">
        <f t="shared" si="34"/>
        <v>0</v>
      </c>
      <c r="C35" s="177"/>
      <c r="D35" s="177">
        <f t="shared" si="35"/>
        <v>0</v>
      </c>
      <c r="E35" s="177"/>
      <c r="F35" s="350">
        <f t="shared" si="36"/>
        <v>0</v>
      </c>
      <c r="G35" s="344" t="str">
        <f>集計!B15</f>
        <v>興津</v>
      </c>
      <c r="H35" s="372"/>
      <c r="I35" s="344" t="str">
        <f>集計!B36</f>
        <v>高木</v>
      </c>
      <c r="J35" s="375"/>
      <c r="K35" s="344" t="str">
        <f>集計!B57</f>
        <v>横山</v>
      </c>
      <c r="L35" s="372"/>
      <c r="N35" s="96"/>
      <c r="O35" s="96"/>
      <c r="P35" s="313"/>
      <c r="Q35" s="434"/>
      <c r="R35" s="453" t="str">
        <f>IF($BE$45=1,"",IF(AZ20=1,"",VLOOKUP(VLOOKUP(AZ20,$BR$70:$BS$135,2,FALSE),シート⑤成績表!$C$11:$AF$75,30,FALSE)))</f>
        <v/>
      </c>
      <c r="S35" s="347">
        <f>IF(BR20=" --",ROW(BR20)+COLUMN(BR20)/100,BR20)</f>
        <v>20.7</v>
      </c>
      <c r="T35" s="453" t="str">
        <f>IF($BE$45=1,"",IF(BA20=1,"",VLOOKUP(VLOOKUP(BA20,$BR$70:$BS$135,2,FALSE),シート⑤成績表!$C$11:$AF$75,30,FALSE)))</f>
        <v/>
      </c>
      <c r="U35" s="347">
        <f>IF(BS20=" --",ROW(BS20)+COLUMN(BS20)/100,BS20)</f>
        <v>20.71</v>
      </c>
      <c r="V35" s="453" t="str">
        <f>IF($BE$45=1,"",IF(BB20=1,"",VLOOKUP(VLOOKUP(BB20,$BR$70:$BS$135,2,FALSE),シート⑤成績表!$C$11:$AF$75,30,FALSE)))</f>
        <v/>
      </c>
      <c r="W35" s="347">
        <f>IF(BT20=" --",ROW(BT20)+COLUMN(BT20)/100,BT20)</f>
        <v>20.72</v>
      </c>
      <c r="X35" s="453" t="str">
        <f>IF($BE$45=1,"",IF(BC20=1,"",VLOOKUP(VLOOKUP(BC20,$BR$70:$BS$135,2,FALSE),シート⑤成績表!$C$11:$AF$75,30,FALSE)))</f>
        <v/>
      </c>
      <c r="Y35" s="347">
        <f>IF(BU20=" --",ROW(BU20)+COLUMN(BU20)/100,BU20)</f>
        <v>20.73</v>
      </c>
      <c r="Z35" s="113"/>
      <c r="AA35" s="112"/>
      <c r="AB35"/>
      <c r="AE35" s="23"/>
      <c r="AF35" s="23"/>
      <c r="AG35" s="23"/>
      <c r="AI35" s="96"/>
      <c r="AL35" s="96"/>
      <c r="AM35" s="96"/>
      <c r="AP35" s="96"/>
      <c r="AR35" s="261"/>
      <c r="AS35" s="285" t="s">
        <v>238</v>
      </c>
      <c r="AT35" s="472" t="s">
        <v>540</v>
      </c>
      <c r="AU35" s="134"/>
      <c r="AY35" s="111"/>
      <c r="AZ35" s="656"/>
      <c r="BA35" s="579"/>
      <c r="BB35" s="654"/>
      <c r="BC35" s="580"/>
      <c r="BD35" s="110"/>
      <c r="BE35" s="111"/>
      <c r="BF35" s="656"/>
      <c r="BG35" s="579"/>
      <c r="BH35" s="654"/>
      <c r="BI35" s="580"/>
      <c r="BJ35" s="251"/>
      <c r="BL35" s="606"/>
      <c r="BM35" s="200"/>
      <c r="BN35" s="607"/>
      <c r="BO35" s="608"/>
      <c r="BP35" s="96"/>
      <c r="BR35" s="632"/>
      <c r="BS35" s="633"/>
      <c r="BT35" s="633"/>
      <c r="BU35" s="634"/>
      <c r="BX35" s="221"/>
      <c r="BY35" s="102"/>
      <c r="BZ35" s="102"/>
      <c r="CA35" s="222"/>
      <c r="CF35" s="99"/>
      <c r="CG35" s="178"/>
      <c r="CH35" s="99"/>
      <c r="CJ35" s="196" t="str">
        <f>IF(S50="","",IF(S50=0,"",S50))</f>
        <v/>
      </c>
      <c r="CK35" s="196" t="str">
        <f>IF(U50="","",IF(U50=0,"",U50))</f>
        <v/>
      </c>
      <c r="CL35" s="196" t="str">
        <f>IF(W50="","",IF(W50=0,"",W50))</f>
        <v/>
      </c>
      <c r="CM35" s="316" t="str">
        <f>IF(Y50="","",IF(Y50=0,"",Y50))</f>
        <v/>
      </c>
      <c r="CN35" s="203">
        <f>SUM(CJ35:CM35)</f>
        <v>0</v>
      </c>
      <c r="CO35" s="23">
        <f t="shared" si="9"/>
        <v>24</v>
      </c>
      <c r="CP35" s="246" t="e">
        <f>IF($CP$6=1,CM22,IF($CP$6=2,CM48,""))</f>
        <v>#VALUE!</v>
      </c>
      <c r="CQ35" s="246" t="e">
        <f>IF($CP$6=1,CM23,IF($CP$6=2,CM49,""))</f>
        <v>#VALUE!</v>
      </c>
      <c r="CS35" s="246" t="str">
        <f>集計!B29</f>
        <v>近藤裕</v>
      </c>
      <c r="CT35" s="584" t="str">
        <f t="shared" si="2"/>
        <v/>
      </c>
      <c r="CU35" s="545" t="e">
        <f t="shared" si="3"/>
        <v>#VALUE!</v>
      </c>
      <c r="CV35" s="585" t="str">
        <f t="shared" si="4"/>
        <v/>
      </c>
      <c r="CW35" s="96"/>
      <c r="CX35" s="545" t="e">
        <f>IF(INDEX(シート⑤成績表!$E$11:$W$75,ROW(CX35)-11,シート①入力画面!$CT$9)="","",INDEX(シート⑤成績表!$E$11:$W$75,ROW(CX35)-11,シート①入力画面!$CT$9))</f>
        <v>#VALUE!</v>
      </c>
      <c r="DC35" s="261"/>
    </row>
    <row r="36" spans="2:116" ht="21.75" customHeight="1" thickBot="1" x14ac:dyDescent="0.2">
      <c r="B36" s="177">
        <f t="shared" si="34"/>
        <v>0</v>
      </c>
      <c r="C36" s="177"/>
      <c r="D36" s="177">
        <f t="shared" si="35"/>
        <v>0</v>
      </c>
      <c r="E36" s="177"/>
      <c r="F36" s="350">
        <f t="shared" si="36"/>
        <v>0</v>
      </c>
      <c r="G36" s="344" t="str">
        <f>集計!B16</f>
        <v>奥原</v>
      </c>
      <c r="H36" s="372"/>
      <c r="I36" s="344" t="str">
        <f>集計!B37</f>
        <v>田中</v>
      </c>
      <c r="J36" s="375"/>
      <c r="K36" s="344" t="str">
        <f>集計!B58</f>
        <v>吉澤</v>
      </c>
      <c r="L36" s="372"/>
      <c r="N36" s="96"/>
      <c r="P36" s="385"/>
      <c r="Q36" s="433"/>
      <c r="R36" s="431" t="str">
        <f>IF($BE$45=1,"",IF(AZ20=1,"",VLOOKUP(VLOOKUP(AZ20,$BR$70:$BS$135,2,FALSE),シート⑤成績表!$C$11:$AF$75,29,FALSE)))</f>
        <v/>
      </c>
      <c r="S36" s="287"/>
      <c r="T36" s="377" t="str">
        <f>IF($BE$45=1,"",IF(BA20=1,"",VLOOKUP(VLOOKUP(BA20,$BR$70:$BS$135,2,FALSE),シート⑤成績表!$C$11:$AF$75,29,FALSE)))</f>
        <v/>
      </c>
      <c r="U36" s="287"/>
      <c r="V36" s="377" t="str">
        <f>IF($BE$45=1,"",IF(BB20=1,"",VLOOKUP(VLOOKUP(BB20,$BR$70:$BS$135,2,FALSE),シート⑤成績表!$C$11:$AF$75,29,FALSE)))</f>
        <v/>
      </c>
      <c r="W36" s="287"/>
      <c r="X36" s="377" t="str">
        <f>IF($BE$45=1,"",IF(BO20=1,"",VLOOKUP(VLOOKUP(BO20,$BR$70:$BS$135,2,FALSE),シート⑤成績表!$C$11:$AF$75,29,FALSE)))</f>
        <v/>
      </c>
      <c r="Y36" s="287"/>
      <c r="Z36" s="112"/>
      <c r="AA36" s="112"/>
      <c r="AB36"/>
      <c r="AE36" s="23"/>
      <c r="AF36" s="23"/>
      <c r="AG36" s="23"/>
      <c r="AI36" s="96"/>
      <c r="AL36" s="96"/>
      <c r="AM36" s="96"/>
      <c r="AP36" s="96"/>
      <c r="AR36" s="261"/>
      <c r="AS36" s="469"/>
      <c r="AT36" s="473" t="s">
        <v>501</v>
      </c>
      <c r="AW36" s="235" t="s">
        <v>92</v>
      </c>
      <c r="AX36" s="111"/>
      <c r="AY36" s="235"/>
      <c r="AZ36" s="581">
        <v>1</v>
      </c>
      <c r="BA36" s="582">
        <v>1</v>
      </c>
      <c r="BB36" s="582">
        <v>2</v>
      </c>
      <c r="BC36" s="583">
        <v>1</v>
      </c>
      <c r="BD36" s="223" t="s">
        <v>183</v>
      </c>
      <c r="BF36" s="581">
        <v>1</v>
      </c>
      <c r="BG36" s="582">
        <v>1</v>
      </c>
      <c r="BH36" s="582">
        <v>2</v>
      </c>
      <c r="BI36" s="583">
        <v>1</v>
      </c>
      <c r="BR36" s="23" t="s">
        <v>182</v>
      </c>
      <c r="BX36" s="23" t="s">
        <v>198</v>
      </c>
      <c r="CC36" s="23" t="s">
        <v>296</v>
      </c>
      <c r="CE36" s="23" t="s">
        <v>297</v>
      </c>
      <c r="CF36" s="99"/>
      <c r="CG36" s="178"/>
      <c r="CH36" s="99"/>
      <c r="CL36" s="95" t="s">
        <v>468</v>
      </c>
      <c r="CM36" s="609">
        <f>SUM(CN13:CN35)</f>
        <v>0</v>
      </c>
      <c r="CO36" s="23">
        <f t="shared" si="9"/>
        <v>25</v>
      </c>
      <c r="CP36" s="246" t="e">
        <f>IF($CP$6=1,CJ24,IF($CP$6=2,CJ50,""))</f>
        <v>#VALUE!</v>
      </c>
      <c r="CQ36" s="246" t="e">
        <f>IF($CP$6=1,CJ25,IF($CP$6=2,CJ51,""))</f>
        <v>#VALUE!</v>
      </c>
      <c r="CS36" s="246" t="str">
        <f>集計!B30</f>
        <v>坂本</v>
      </c>
      <c r="CT36" s="584" t="str">
        <f t="shared" si="2"/>
        <v/>
      </c>
      <c r="CU36" s="545" t="e">
        <f t="shared" si="3"/>
        <v>#VALUE!</v>
      </c>
      <c r="CV36" s="585" t="str">
        <f t="shared" si="4"/>
        <v/>
      </c>
      <c r="CW36" s="96"/>
      <c r="CX36" s="545" t="e">
        <f>IF(INDEX(シート⑤成績表!$E$11:$W$75,ROW(CX36)-11,シート①入力画面!$CT$9)="","",INDEX(シート⑤成績表!$E$11:$W$75,ROW(CX36)-11,シート①入力画面!$CT$9))</f>
        <v>#VALUE!</v>
      </c>
      <c r="DC36" s="261"/>
    </row>
    <row r="37" spans="2:116" ht="21.75" customHeight="1" thickBot="1" x14ac:dyDescent="0.2">
      <c r="B37" s="177">
        <f t="shared" si="34"/>
        <v>0</v>
      </c>
      <c r="C37" s="177"/>
      <c r="D37" s="177">
        <f t="shared" si="35"/>
        <v>0</v>
      </c>
      <c r="E37" s="177"/>
      <c r="F37" s="350">
        <f t="shared" si="36"/>
        <v>0</v>
      </c>
      <c r="G37" s="344" t="str">
        <f>集計!B17</f>
        <v>小倉</v>
      </c>
      <c r="H37" s="372"/>
      <c r="I37" s="344" t="str">
        <f>集計!B38</f>
        <v>塚越</v>
      </c>
      <c r="J37" s="375"/>
      <c r="K37" s="344" t="str">
        <f>集計!B59</f>
        <v>吉田</v>
      </c>
      <c r="L37" s="372"/>
      <c r="N37" s="96"/>
      <c r="P37" s="395"/>
      <c r="Q37" s="434"/>
      <c r="R37" s="453" t="str">
        <f>IF($BE$45=1,"",IF(AZ22=1,"",VLOOKUP(VLOOKUP(AZ22,$BR$70:$BS$135,2,FALSE),シート⑤成績表!$C$11:$AF$75,30,FALSE)))</f>
        <v/>
      </c>
      <c r="S37" s="347">
        <f>IF(BR22=" --",ROW(BR22)+COLUMN(BR22)/100,BR22)</f>
        <v>22.7</v>
      </c>
      <c r="T37" s="453" t="str">
        <f>IF($BE$45=1,"",IF(BA22=1,"",VLOOKUP(VLOOKUP(BA22,$BR$70:$BS$135,2,FALSE),シート⑤成績表!$C$11:$AF$75,30,FALSE)))</f>
        <v/>
      </c>
      <c r="U37" s="347">
        <f>IF(BS22=" --",ROW(BS22)+COLUMN(BS22)/100,BS22)</f>
        <v>22.71</v>
      </c>
      <c r="V37" s="453" t="str">
        <f>IF($BE$45=1,"",IF(BB22=1,"",VLOOKUP(VLOOKUP(BB22,$BR$70:$BS$135,2,FALSE),シート⑤成績表!$C$11:$AF$75,30,FALSE)))</f>
        <v/>
      </c>
      <c r="W37" s="347">
        <f>IF(BT22=" --",ROW(BT22)+COLUMN(BT22)/100,BT22)</f>
        <v>22.72</v>
      </c>
      <c r="X37" s="453" t="str">
        <f>IF($BE$45=1,"",IF(BC22=1,"",VLOOKUP(VLOOKUP(BC22,$BR$70:$BS$135,2,FALSE),シート⑤成績表!$C$11:$AF$75,30,FALSE)))</f>
        <v/>
      </c>
      <c r="Y37" s="347">
        <f>IF(BU22=" --",ROW(BU22)+COLUMN(BU22)/100,BU22)</f>
        <v>22.73</v>
      </c>
      <c r="Z37" s="113"/>
      <c r="AA37" s="113"/>
      <c r="AB37"/>
      <c r="AE37" s="23"/>
      <c r="AF37" s="23"/>
      <c r="AG37" s="23"/>
      <c r="AI37" s="96"/>
      <c r="AL37" s="96"/>
      <c r="AM37" s="96"/>
      <c r="AP37" s="96"/>
      <c r="AR37" s="261"/>
      <c r="AS37" s="474"/>
      <c r="AT37" s="473" t="s">
        <v>488</v>
      </c>
      <c r="AV37" s="23">
        <v>1</v>
      </c>
      <c r="AW37" s="320" t="str">
        <f t="shared" ref="AW37:AW42" si="58">IF($BA$36=2,$AT6,$AT58)</f>
        <v>(1) 組合せ入力</v>
      </c>
      <c r="AX37" s="290"/>
      <c r="AY37" s="291"/>
      <c r="AZ37" s="241" t="s">
        <v>256</v>
      </c>
      <c r="BA37" s="241" t="s">
        <v>255</v>
      </c>
      <c r="BB37" s="241" t="s">
        <v>303</v>
      </c>
      <c r="BC37" s="241" t="s">
        <v>254</v>
      </c>
      <c r="BD37" s="96"/>
      <c r="BG37" s="23" t="s">
        <v>118</v>
      </c>
      <c r="BJ37" s="165" t="s">
        <v>181</v>
      </c>
      <c r="BK37" s="23"/>
      <c r="BL37" t="s">
        <v>79</v>
      </c>
      <c r="BM37" s="23" t="s">
        <v>180</v>
      </c>
      <c r="BN37" s="23"/>
      <c r="BO37" s="23"/>
      <c r="BR37" s="23" t="s">
        <v>596</v>
      </c>
      <c r="BX37" s="23" t="s">
        <v>199</v>
      </c>
      <c r="CC37" s="138"/>
      <c r="CE37" s="23" t="s">
        <v>298</v>
      </c>
      <c r="CF37" s="99"/>
      <c r="CG37" s="178"/>
      <c r="CJ37" s="23" t="s">
        <v>409</v>
      </c>
      <c r="CO37" s="23">
        <f t="shared" si="9"/>
        <v>26</v>
      </c>
      <c r="CP37" s="246" t="e">
        <f>IF($CP$6=1,CK24,IF($CP$6=2,CK50,""))</f>
        <v>#VALUE!</v>
      </c>
      <c r="CQ37" s="246" t="e">
        <f>IF($CP$6=1,CK25,IF($CP$6=2,CK51,""))</f>
        <v>#VALUE!</v>
      </c>
      <c r="CS37" s="246" t="str">
        <f>集計!B31</f>
        <v>佐藤清</v>
      </c>
      <c r="CT37" s="584" t="str">
        <f t="shared" si="2"/>
        <v/>
      </c>
      <c r="CU37" s="545" t="e">
        <f t="shared" si="3"/>
        <v>#VALUE!</v>
      </c>
      <c r="CV37" s="585" t="str">
        <f t="shared" si="4"/>
        <v/>
      </c>
      <c r="CW37" s="96"/>
      <c r="CX37" s="545" t="e">
        <f>IF(INDEX(シート⑤成績表!$E$11:$W$75,ROW(CX37)-11,シート①入力画面!$CT$9)="","",INDEX(シート⑤成績表!$E$11:$W$75,ROW(CX37)-11,シート①入力画面!$CT$9))</f>
        <v>#VALUE!</v>
      </c>
      <c r="DC37" s="261"/>
      <c r="DL37" s="160"/>
    </row>
    <row r="38" spans="2:116" ht="21.75" customHeight="1" thickBot="1" x14ac:dyDescent="0.2">
      <c r="B38" s="177">
        <f t="shared" si="34"/>
        <v>0</v>
      </c>
      <c r="C38" s="177"/>
      <c r="D38" s="177">
        <f t="shared" si="35"/>
        <v>0</v>
      </c>
      <c r="E38" s="177"/>
      <c r="F38" s="350">
        <f t="shared" si="36"/>
        <v>0</v>
      </c>
      <c r="G38" s="344" t="str">
        <f>集計!B18</f>
        <v>小野山</v>
      </c>
      <c r="H38" s="372"/>
      <c r="I38" s="344" t="str">
        <f>集計!B39</f>
        <v>次橋</v>
      </c>
      <c r="J38" s="375"/>
      <c r="K38" s="344" t="str">
        <f>集計!B60</f>
        <v>渡辺昭</v>
      </c>
      <c r="L38" s="372"/>
      <c r="N38" s="96"/>
      <c r="P38" s="385"/>
      <c r="Q38" s="433"/>
      <c r="R38" s="431" t="str">
        <f>IF($BE$45=1,"",IF(AZ22=1,"",VLOOKUP(VLOOKUP(AZ22,$BR$70:$BS$135,2,FALSE),シート⑤成績表!$C$11:$AF$75,29,FALSE)))</f>
        <v/>
      </c>
      <c r="S38" s="287"/>
      <c r="T38" s="377" t="str">
        <f>IF($BE$45=1,"",IF(BA22=1,"",VLOOKUP(VLOOKUP(BA22,$BR$70:$BS$135,2,FALSE),シート⑤成績表!$C$11:$AF$75,29,FALSE)))</f>
        <v/>
      </c>
      <c r="U38" s="287"/>
      <c r="V38" s="377" t="str">
        <f>IF($BE$45=1,"",IF(BB22=1,"",VLOOKUP(VLOOKUP(BB22,$BR$70:$BS$135,2,FALSE),シート⑤成績表!$C$11:$AF$75,29,FALSE)))</f>
        <v/>
      </c>
      <c r="W38" s="287"/>
      <c r="X38" s="377" t="str">
        <f>IF($BE$45=1,"",IF(BO22=1,"",VLOOKUP(VLOOKUP(BO22,$BR$70:$BS$135,2,FALSE),シート⑤成績表!$C$11:$AF$75,29,FALSE)))</f>
        <v/>
      </c>
      <c r="Y38" s="287"/>
      <c r="Z38" s="112"/>
      <c r="AA38" s="112"/>
      <c r="AB38"/>
      <c r="AE38" s="23"/>
      <c r="AF38" s="23"/>
      <c r="AG38" s="23"/>
      <c r="AI38" s="96"/>
      <c r="AL38" s="96"/>
      <c r="AM38" s="96"/>
      <c r="AP38" s="96"/>
      <c r="AR38" s="261"/>
      <c r="AS38" s="474"/>
      <c r="AT38" s="473" t="s">
        <v>536</v>
      </c>
      <c r="AV38" s="23">
        <v>3</v>
      </c>
      <c r="AW38" s="320" t="str">
        <f t="shared" si="58"/>
        <v>(2) 組内の並べ方整備（年齢順等）をしました。</v>
      </c>
      <c r="AX38" s="290"/>
      <c r="AY38" s="291"/>
      <c r="AZ38" s="290"/>
      <c r="BA38" s="290"/>
      <c r="BB38" s="290"/>
      <c r="BC38" s="292"/>
      <c r="BG38" s="195" t="str">
        <f>組合せﾃﾞｰﾀ!AD7</f>
        <v/>
      </c>
      <c r="BH38" s="610" t="str">
        <f>組合せﾃﾞｰﾀ!AE7</f>
        <v/>
      </c>
      <c r="BI38" s="610" t="str">
        <f>組合せﾃﾞｰﾀ!AF7</f>
        <v/>
      </c>
      <c r="BJ38" s="218" t="str">
        <f>組合せﾃﾞｰﾀ!AG7</f>
        <v/>
      </c>
      <c r="BK38" s="23"/>
      <c r="BL38" s="195" t="str">
        <f>組合せﾃﾞｰﾀ!AN7</f>
        <v/>
      </c>
      <c r="BM38" s="610" t="str">
        <f>組合せﾃﾞｰﾀ!AO7</f>
        <v/>
      </c>
      <c r="BN38" s="610" t="str">
        <f>組合せﾃﾞｰﾀ!AP7</f>
        <v/>
      </c>
      <c r="BO38" s="218" t="str">
        <f>組合せﾃﾞｰﾀ!AQ7</f>
        <v/>
      </c>
      <c r="BR38" s="475" t="str">
        <f>IF($BA$45=2,組合せﾃﾞｰﾀ!AN7,組合せﾃﾞｰﾀ!AD7)</f>
        <v/>
      </c>
      <c r="BS38" s="476" t="str">
        <f>IF($BA$45=2,組合せﾃﾞｰﾀ!AO7,組合せﾃﾞｰﾀ!AE7)</f>
        <v/>
      </c>
      <c r="BT38" s="476" t="str">
        <f>IF($BA$45=2,組合せﾃﾞｰﾀ!AP7,組合せﾃﾞｰﾀ!AF7)</f>
        <v/>
      </c>
      <c r="BU38" s="477" t="str">
        <f>IF($BA$45=2,組合せﾃﾞｰﾀ!AQ7,組合せﾃﾞｰﾀ!AG7)</f>
        <v/>
      </c>
      <c r="BX38" s="589" t="str">
        <f>IF(BR38="ｷｬﾝｾﾙ1","",IF(BR38="ｷｬﾝｾﾙ2","",IF(BR38="ｷｬﾝｾﾙ3","",IF(BR38="ｷｬﾝｾﾙ4","",IF(BR38="ｷｬﾝｾﾙ5","",IF(BR38="ｷｬﾝｾﾙ6","",IF(BR38="ｷｬﾝｾﾙ7","",IF(BR38="ｷｬﾝｾﾙ8","",IF(BR38="blank","",BR38)))))))))</f>
        <v/>
      </c>
      <c r="BY38" s="590" t="str">
        <f t="shared" ref="BY38:CA38" si="59">IF(BS38="ｷｬﾝｾﾙ1","",IF(BS38="ｷｬﾝｾﾙ2","",IF(BS38="ｷｬﾝｾﾙ3","",IF(BS38="ｷｬﾝｾﾙ4","",IF(BS38="ｷｬﾝｾﾙ5","",IF(BS38="ｷｬﾝｾﾙ6","",IF(BS38="ｷｬﾝｾﾙ7","",IF(BS38="ｷｬﾝｾﾙ8","",IF(BS38="blank","",BS38)))))))))</f>
        <v/>
      </c>
      <c r="BZ38" s="590" t="str">
        <f t="shared" si="59"/>
        <v/>
      </c>
      <c r="CA38" s="591" t="str">
        <f t="shared" si="59"/>
        <v/>
      </c>
      <c r="CC38" s="138" t="s">
        <v>294</v>
      </c>
      <c r="CD38" s="378" t="str">
        <f>IF(BX38="","",VLOOKUP(BX38,シート⑤成績表!$C$11:$AE$75,22,FALSE))</f>
        <v/>
      </c>
      <c r="CE38" s="379" t="str">
        <f>IF(BY38="","",VLOOKUP(BY38,シート⑤成績表!$C$11:$AE$75,22,FALSE))</f>
        <v/>
      </c>
      <c r="CF38" s="379" t="str">
        <f>IF(BZ38="","",VLOOKUP(BZ38,シート⑤成績表!$C$11:$AE$75,22,FALSE))</f>
        <v/>
      </c>
      <c r="CG38" s="380" t="str">
        <f>IF(CA38="","",VLOOKUP(CA38,シート⑤成績表!$C$11:$AE$75,22,FALSE))</f>
        <v/>
      </c>
      <c r="CJ38" s="589" t="str">
        <f>BX38</f>
        <v/>
      </c>
      <c r="CK38" s="590" t="str">
        <f t="shared" ref="CK38:CM38" si="60">BY38</f>
        <v/>
      </c>
      <c r="CL38" s="590" t="str">
        <f t="shared" si="60"/>
        <v/>
      </c>
      <c r="CM38" s="591" t="str">
        <f t="shared" si="60"/>
        <v/>
      </c>
      <c r="CN38" s="614"/>
      <c r="CO38" s="23">
        <f t="shared" si="9"/>
        <v>27</v>
      </c>
      <c r="CP38" s="246" t="e">
        <f>IF($CP$6=1,CL24,IF($CP$6=2,CL50,""))</f>
        <v>#VALUE!</v>
      </c>
      <c r="CQ38" s="246" t="e">
        <f>IF($CP$6=1,CL25,IF($CP$6=2,CL51,""))</f>
        <v>#VALUE!</v>
      </c>
      <c r="CS38" s="246" t="str">
        <f>集計!B32</f>
        <v>里中</v>
      </c>
      <c r="CT38" s="584" t="str">
        <f t="shared" si="2"/>
        <v/>
      </c>
      <c r="CU38" s="545" t="e">
        <f t="shared" si="3"/>
        <v>#VALUE!</v>
      </c>
      <c r="CV38" s="585" t="str">
        <f t="shared" si="4"/>
        <v/>
      </c>
      <c r="CW38" s="96"/>
      <c r="CX38" s="545" t="e">
        <f>IF(INDEX(シート⑤成績表!$E$11:$W$75,ROW(CX38)-11,シート①入力画面!$CT$9)="","",INDEX(シート⑤成績表!$E$11:$W$75,ROW(CX38)-11,シート①入力画面!$CT$9))</f>
        <v>#VALUE!</v>
      </c>
      <c r="CY38" s="160"/>
      <c r="DC38" s="261"/>
      <c r="DL38" s="160"/>
    </row>
    <row r="39" spans="2:116" ht="21.75" customHeight="1" thickBot="1" x14ac:dyDescent="0.2">
      <c r="B39" s="177">
        <f t="shared" si="34"/>
        <v>0</v>
      </c>
      <c r="C39" s="177"/>
      <c r="D39" s="177">
        <f t="shared" si="35"/>
        <v>0</v>
      </c>
      <c r="E39" s="177"/>
      <c r="F39" s="350">
        <f t="shared" si="36"/>
        <v>0</v>
      </c>
      <c r="G39" s="344" t="str">
        <f>集計!B19</f>
        <v>笠原</v>
      </c>
      <c r="H39" s="372"/>
      <c r="I39" s="344" t="str">
        <f>集計!B40</f>
        <v>坪原</v>
      </c>
      <c r="J39" s="375"/>
      <c r="K39" s="344" t="str">
        <f>集計!B61</f>
        <v>渡辺政</v>
      </c>
      <c r="L39" s="372"/>
      <c r="N39" s="96"/>
      <c r="P39" s="313"/>
      <c r="Q39" s="434"/>
      <c r="R39" s="453" t="str">
        <f>IF($BE$45=1,"",IF(AZ24=1,"",VLOOKUP(VLOOKUP(AZ24,$BR$70:$BS$135,2,FALSE),シート⑤成績表!$C$11:$AF$75,30,FALSE)))</f>
        <v/>
      </c>
      <c r="S39" s="347">
        <f>IF(BR24=" --",ROW(BR24)+COLUMN(BR24)/100,BR24)</f>
        <v>24.7</v>
      </c>
      <c r="T39" s="453" t="str">
        <f>IF($BE$45=1,"",IF(BA24=1,"",VLOOKUP(VLOOKUP(BA24,$BR$70:$BS$135,2,FALSE),シート⑤成績表!$C$11:$AF$75,30,FALSE)))</f>
        <v/>
      </c>
      <c r="U39" s="347">
        <f>IF(BS24=" --",ROW(BS24)+COLUMN(BS24)/100,BS24)</f>
        <v>24.71</v>
      </c>
      <c r="V39" s="453" t="str">
        <f>IF($BE$45=1,"",IF(BB24=1,"",VLOOKUP(VLOOKUP(BB24,$BR$70:$BS$135,2,FALSE),シート⑤成績表!$C$11:$AF$75,30,FALSE)))</f>
        <v/>
      </c>
      <c r="W39" s="347">
        <f>IF(BT24=" --",ROW(BT24)+COLUMN(BT24)/100,BT24)</f>
        <v>24.72</v>
      </c>
      <c r="X39" s="453" t="str">
        <f>IF($BE$45=1,"",IF(BC24=1,"",VLOOKUP(VLOOKUP(BC24,$BR$70:$BS$135,2,FALSE),シート⑤成績表!$C$11:$AF$75,30,FALSE)))</f>
        <v/>
      </c>
      <c r="Y39" s="347">
        <f>IF(BU24=" --",ROW(BU24)+COLUMN(BU24)/100,BU24)</f>
        <v>24.73</v>
      </c>
      <c r="Z39" s="113"/>
      <c r="AA39" s="113"/>
      <c r="AB39"/>
      <c r="AE39" s="23"/>
      <c r="AF39" s="23"/>
      <c r="AG39" s="23"/>
      <c r="AI39" s="96"/>
      <c r="AL39" s="96"/>
      <c r="AM39" s="96"/>
      <c r="AP39" s="96"/>
      <c r="AR39" s="261"/>
      <c r="AS39" s="474"/>
      <c r="AT39" s="478" t="s">
        <v>541</v>
      </c>
      <c r="AV39" s="23">
        <v>2</v>
      </c>
      <c r="AW39" s="320" t="str">
        <f t="shared" si="58"/>
        <v>(3) 成績の入力。ここでも組合せ変更可です</v>
      </c>
      <c r="AX39" s="293"/>
      <c r="AY39" s="293"/>
      <c r="AZ39" s="293"/>
      <c r="BA39" s="291"/>
      <c r="BB39" s="293"/>
      <c r="BC39" s="294"/>
      <c r="BF39" s="241"/>
      <c r="BG39" s="173"/>
      <c r="BH39" s="196"/>
      <c r="BI39" s="196"/>
      <c r="BJ39" s="197"/>
      <c r="BK39" s="23"/>
      <c r="BL39" s="173"/>
      <c r="BM39" s="196"/>
      <c r="BN39" s="196"/>
      <c r="BO39" s="197"/>
      <c r="BR39" s="479"/>
      <c r="BS39" s="480"/>
      <c r="BT39" s="480"/>
      <c r="BU39" s="481"/>
      <c r="BX39" s="611"/>
      <c r="BY39" s="234"/>
      <c r="BZ39" s="234"/>
      <c r="CA39" s="612"/>
      <c r="CC39" s="138" t="s">
        <v>295</v>
      </c>
      <c r="CD39" s="381" t="str">
        <f>IF(BX38="","",VLOOKUP(BX38,シート⑤成績表!$C$11:$AE$75,29,FALSE))</f>
        <v/>
      </c>
      <c r="CE39" s="382" t="str">
        <f>IF(BY38="","",VLOOKUP(BY38,シート⑤成績表!$C$11:$AE$75,29,FALSE))</f>
        <v/>
      </c>
      <c r="CF39" s="382" t="str">
        <f>IF(BZ38="","",VLOOKUP(BZ38,シート⑤成績表!$C$11:$AE$75,29,FALSE))</f>
        <v/>
      </c>
      <c r="CG39" s="383" t="str">
        <f>IF(CA38="","",VLOOKUP(CA38,シート⑤成績表!$C$11:$AE$75,29,FALSE))</f>
        <v/>
      </c>
      <c r="CJ39" s="173" t="str">
        <f>IF(シート④スコア記入依頼用紙!F17="","",IF(シート④スコア記入依頼用紙!F17=0,"",シート④スコア記入依頼用紙!F17))</f>
        <v/>
      </c>
      <c r="CK39" s="196" t="str">
        <f>IF(シート④スコア記入依頼用紙!G17="","",IF(シート④スコア記入依頼用紙!G17=0,"",シート④スコア記入依頼用紙!G17))</f>
        <v/>
      </c>
      <c r="CL39" s="196" t="str">
        <f>IF(シート④スコア記入依頼用紙!H17="","",IF(シート④スコア記入依頼用紙!H17=0,"",シート④スコア記入依頼用紙!H17))</f>
        <v/>
      </c>
      <c r="CM39" s="197" t="str">
        <f>IF(シート④スコア記入依頼用紙!I17="","",IF(シート④スコア記入依頼用紙!I17=0,"",シート④スコア記入依頼用紙!I17))</f>
        <v/>
      </c>
      <c r="CN39" s="615">
        <f>SUM(CJ39:CM39)</f>
        <v>0</v>
      </c>
      <c r="CO39" s="23">
        <f t="shared" si="9"/>
        <v>28</v>
      </c>
      <c r="CP39" s="246" t="e">
        <f>IF($CP$6=1,CM24,IF($CP$6=2,CM50,""))</f>
        <v>#VALUE!</v>
      </c>
      <c r="CQ39" s="246" t="e">
        <f>IF($CP$6=1,CM25,IF($CP$6=2,CM51,""))</f>
        <v>#VALUE!</v>
      </c>
      <c r="CS39" s="246" t="str">
        <f>集計!B33</f>
        <v>佐土原</v>
      </c>
      <c r="CT39" s="584" t="str">
        <f t="shared" si="2"/>
        <v/>
      </c>
      <c r="CU39" s="545" t="e">
        <f t="shared" si="3"/>
        <v>#VALUE!</v>
      </c>
      <c r="CV39" s="585" t="str">
        <f t="shared" si="4"/>
        <v/>
      </c>
      <c r="CW39" s="194"/>
      <c r="CX39" s="545" t="e">
        <f>IF(INDEX(シート⑤成績表!$E$11:$W$75,ROW(CX39)-11,シート①入力画面!$CT$9)="","",INDEX(シート⑤成績表!$E$11:$W$75,ROW(CX39)-11,シート①入力画面!$CT$9))</f>
        <v>#VALUE!</v>
      </c>
      <c r="CY39" s="160"/>
      <c r="DB39" s="183"/>
      <c r="DC39" s="261"/>
      <c r="DL39" s="147"/>
    </row>
    <row r="40" spans="2:116" ht="21.75" customHeight="1" thickBot="1" x14ac:dyDescent="0.2">
      <c r="B40" s="177">
        <f t="shared" si="34"/>
        <v>0</v>
      </c>
      <c r="C40" s="177"/>
      <c r="D40" s="177">
        <f t="shared" si="35"/>
        <v>0</v>
      </c>
      <c r="E40" s="177"/>
      <c r="F40" s="350">
        <f t="shared" si="36"/>
        <v>0</v>
      </c>
      <c r="G40" s="344" t="str">
        <f>集計!B20</f>
        <v>勝田</v>
      </c>
      <c r="H40" s="372"/>
      <c r="I40" s="344" t="str">
        <f>集計!B41</f>
        <v>豊島</v>
      </c>
      <c r="J40" s="375"/>
      <c r="K40" s="344" t="str">
        <f>集計!B62</f>
        <v>村中</v>
      </c>
      <c r="L40" s="372"/>
      <c r="N40" s="96"/>
      <c r="P40" s="385"/>
      <c r="Q40" s="433"/>
      <c r="R40" s="431" t="str">
        <f>IF($BE$45=1,"",IF(AZ24=1,"",VLOOKUP(VLOOKUP(AZ24,$BR$70:$BS$135,2,FALSE),シート⑤成績表!$C$11:$AF$75,29,FALSE)))</f>
        <v/>
      </c>
      <c r="S40" s="287"/>
      <c r="T40" s="377" t="str">
        <f>IF($BE$45=1,"",IF(BA24=1,"",VLOOKUP(VLOOKUP(BA24,$BR$70:$BS$135,2,FALSE),シート⑤成績表!$C$11:$AF$75,29,FALSE)))</f>
        <v/>
      </c>
      <c r="U40" s="287"/>
      <c r="V40" s="377" t="str">
        <f>IF($BE$45=1,"",IF(BB24=1,"",VLOOKUP(VLOOKUP(BB24,$BR$70:$BS$135,2,FALSE),シート⑤成績表!$C$11:$AF$75,29,FALSE)))</f>
        <v/>
      </c>
      <c r="W40" s="287"/>
      <c r="X40" s="377" t="str">
        <f>IF($BE$45=1,"",IF(BO24=1,"",VLOOKUP(VLOOKUP(BO24,$BR$70:$BS$135,2,FALSE),シート⑤成績表!$C$11:$AF$75,29,FALSE)))</f>
        <v/>
      </c>
      <c r="Y40" s="287"/>
      <c r="Z40" s="96"/>
      <c r="AA40" s="23" t="s">
        <v>63</v>
      </c>
      <c r="AB40" s="23"/>
      <c r="AE40" s="23"/>
      <c r="AF40" s="23"/>
      <c r="AG40" s="23"/>
      <c r="AI40" s="96"/>
      <c r="AL40" s="96"/>
      <c r="AM40" s="96"/>
      <c r="AP40" s="96"/>
      <c r="AR40" s="261"/>
      <c r="AS40" s="482"/>
      <c r="AT40" s="466" t="s">
        <v>537</v>
      </c>
      <c r="AV40" s="23">
        <v>5</v>
      </c>
      <c r="AW40" s="320" t="str">
        <f t="shared" si="58"/>
        <v/>
      </c>
      <c r="AX40" s="293"/>
      <c r="AY40" s="295"/>
      <c r="AZ40" s="293"/>
      <c r="BA40" s="290"/>
      <c r="BB40" s="293"/>
      <c r="BC40" s="294"/>
      <c r="BF40" s="241"/>
      <c r="BG40" s="173" t="str">
        <f>組合せﾃﾞｰﾀ!AD9</f>
        <v/>
      </c>
      <c r="BH40" s="196" t="str">
        <f>組合せﾃﾞｰﾀ!AE9</f>
        <v/>
      </c>
      <c r="BI40" s="196" t="str">
        <f>組合せﾃﾞｰﾀ!AF9</f>
        <v/>
      </c>
      <c r="BJ40" s="197" t="str">
        <f>組合せﾃﾞｰﾀ!AG9</f>
        <v/>
      </c>
      <c r="BK40" s="23"/>
      <c r="BL40" s="173" t="str">
        <f>組合せﾃﾞｰﾀ!AN9</f>
        <v/>
      </c>
      <c r="BM40" s="196" t="str">
        <f>組合せﾃﾞｰﾀ!AO9</f>
        <v/>
      </c>
      <c r="BN40" s="196" t="str">
        <f>組合せﾃﾞｰﾀ!AP9</f>
        <v/>
      </c>
      <c r="BO40" s="197" t="str">
        <f>組合せﾃﾞｰﾀ!AQ9</f>
        <v/>
      </c>
      <c r="BR40" s="479" t="str">
        <f>IF($BA$45=2,組合せﾃﾞｰﾀ!AN9,組合せﾃﾞｰﾀ!AD9)</f>
        <v/>
      </c>
      <c r="BS40" s="480" t="str">
        <f>IF($BA$45=2,組合せﾃﾞｰﾀ!AO9,組合せﾃﾞｰﾀ!AE9)</f>
        <v/>
      </c>
      <c r="BT40" s="480" t="str">
        <f>IF($BA$45=2,組合せﾃﾞｰﾀ!AP9,組合せﾃﾞｰﾀ!AF9)</f>
        <v/>
      </c>
      <c r="BU40" s="481" t="str">
        <f>IF($BA$45=2,組合せﾃﾞｰﾀ!AQ9,組合せﾃﾞｰﾀ!AG9)</f>
        <v/>
      </c>
      <c r="BX40" s="611" t="str">
        <f>IF(BR40="ｷｬﾝｾﾙ1","",IF(BR40="ｷｬﾝｾﾙ2","",IF(BR40="ｷｬﾝｾﾙ3","",IF(BR40="ｷｬﾝｾﾙ4","",IF(BR40="ｷｬﾝｾﾙ5","",IF(BR40="ｷｬﾝｾﾙ6","",IF(BR40="ｷｬﾝｾﾙ7","",IF(BR40="ｷｬﾝｾﾙ8","",IF(BR40="blank","",BR40)))))))))</f>
        <v/>
      </c>
      <c r="BY40" s="234" t="str">
        <f t="shared" ref="BY40" si="61">IF(BS40="ｷｬﾝｾﾙ1","",IF(BS40="ｷｬﾝｾﾙ2","",IF(BS40="ｷｬﾝｾﾙ3","",IF(BS40="ｷｬﾝｾﾙ4","",IF(BS40="ｷｬﾝｾﾙ5","",IF(BS40="ｷｬﾝｾﾙ6","",IF(BS40="ｷｬﾝｾﾙ7","",IF(BS40="ｷｬﾝｾﾙ8","",IF(BS40="blank","",BS40)))))))))</f>
        <v/>
      </c>
      <c r="BZ40" s="234" t="str">
        <f t="shared" ref="BZ40" si="62">IF(BT40="ｷｬﾝｾﾙ1","",IF(BT40="ｷｬﾝｾﾙ2","",IF(BT40="ｷｬﾝｾﾙ3","",IF(BT40="ｷｬﾝｾﾙ4","",IF(BT40="ｷｬﾝｾﾙ5","",IF(BT40="ｷｬﾝｾﾙ6","",IF(BT40="ｷｬﾝｾﾙ7","",IF(BT40="ｷｬﾝｾﾙ8","",IF(BT40="blank","",BT40)))))))))</f>
        <v/>
      </c>
      <c r="CA40" s="612" t="str">
        <f t="shared" ref="CA40" si="63">IF(BU40="ｷｬﾝｾﾙ1","",IF(BU40="ｷｬﾝｾﾙ2","",IF(BU40="ｷｬﾝｾﾙ3","",IF(BU40="ｷｬﾝｾﾙ4","",IF(BU40="ｷｬﾝｾﾙ5","",IF(BU40="ｷｬﾝｾﾙ6","",IF(BU40="ｷｬﾝｾﾙ7","",IF(BU40="ｷｬﾝｾﾙ8","",IF(BU40="blank","",BU40)))))))))</f>
        <v/>
      </c>
      <c r="CD40" s="378" t="str">
        <f>IF(BX40="","",VLOOKUP(BX40,シート⑤成績表!$C$11:$AE$75,22,FALSE))</f>
        <v/>
      </c>
      <c r="CE40" s="379" t="str">
        <f>IF(BY40="","",VLOOKUP(BY40,シート⑤成績表!$C$11:$AE$75,22,FALSE))</f>
        <v/>
      </c>
      <c r="CF40" s="379" t="str">
        <f>IF(BZ40="","",VLOOKUP(BZ40,シート⑤成績表!$C$11:$AE$75,22,FALSE))</f>
        <v/>
      </c>
      <c r="CG40" s="380" t="str">
        <f>IF(CA40="","",VLOOKUP(CA40,シート⑤成績表!$C$11:$AE$75,22,FALSE))</f>
        <v/>
      </c>
      <c r="CJ40" s="611" t="str">
        <f t="shared" ref="CJ40:CM40" si="64">BX40</f>
        <v/>
      </c>
      <c r="CK40" s="234" t="str">
        <f t="shared" si="64"/>
        <v/>
      </c>
      <c r="CL40" s="234" t="str">
        <f t="shared" si="64"/>
        <v/>
      </c>
      <c r="CM40" s="612" t="str">
        <f t="shared" si="64"/>
        <v/>
      </c>
      <c r="CN40" s="615"/>
      <c r="CO40" s="23">
        <f t="shared" si="9"/>
        <v>29</v>
      </c>
      <c r="CP40" s="246" t="e">
        <f>IF($CP$6=1,CJ26,IF($CP$6=2,CJ52,""))</f>
        <v>#VALUE!</v>
      </c>
      <c r="CQ40" s="246" t="e">
        <f>IF($CP$6=1,CJ27,IF($CP$6=2,CJ53,""))</f>
        <v>#VALUE!</v>
      </c>
      <c r="CS40" s="246" t="str">
        <f>集計!B34</f>
        <v>塩崎</v>
      </c>
      <c r="CT40" s="584" t="str">
        <f t="shared" si="2"/>
        <v/>
      </c>
      <c r="CU40" s="545" t="e">
        <f t="shared" si="3"/>
        <v>#VALUE!</v>
      </c>
      <c r="CV40" s="585" t="str">
        <f t="shared" si="4"/>
        <v/>
      </c>
      <c r="CW40" s="183"/>
      <c r="CX40" s="545" t="e">
        <f>IF(INDEX(シート⑤成績表!$E$11:$W$75,ROW(CX40)-11,シート①入力画面!$CT$9)="","",INDEX(シート⑤成績表!$E$11:$W$75,ROW(CX40)-11,シート①入力画面!$CT$9))</f>
        <v>#VALUE!</v>
      </c>
      <c r="CY40" s="160"/>
      <c r="DB40" s="183"/>
      <c r="DC40" s="261"/>
    </row>
    <row r="41" spans="2:116" ht="21.75" customHeight="1" thickBot="1" x14ac:dyDescent="0.2">
      <c r="B41" s="177">
        <f t="shared" si="34"/>
        <v>0</v>
      </c>
      <c r="C41" s="177"/>
      <c r="D41" s="177">
        <f t="shared" si="35"/>
        <v>0</v>
      </c>
      <c r="E41" s="177"/>
      <c r="F41" s="350">
        <f t="shared" si="36"/>
        <v>0</v>
      </c>
      <c r="G41" s="344" t="str">
        <f>集計!B21</f>
        <v>神崎</v>
      </c>
      <c r="H41" s="372"/>
      <c r="I41" s="344" t="str">
        <f>集計!B42</f>
        <v>中川</v>
      </c>
      <c r="J41" s="375"/>
      <c r="K41" s="344" t="str">
        <f>集計!B63</f>
        <v>奈良</v>
      </c>
      <c r="L41" s="372"/>
      <c r="N41" s="96"/>
      <c r="O41"/>
      <c r="P41" s="313"/>
      <c r="Q41" s="434"/>
      <c r="R41" s="453" t="str">
        <f>IF($BE$45=1,"",IF(AZ26=1,"",VLOOKUP(VLOOKUP(AZ26,$BR$70:$BS$135,2,FALSE),シート⑤成績表!$C$11:$AF$75,30,FALSE)))</f>
        <v/>
      </c>
      <c r="S41" s="347">
        <f>IF(BR26=" --",ROW(BR26)+COLUMN(BR26)/100,BR26)</f>
        <v>26.7</v>
      </c>
      <c r="T41" s="453" t="str">
        <f>IF($BE$45=1,"",IF(BA26=1,"",VLOOKUP(VLOOKUP(BA26,$BR$70:$BS$135,2,FALSE),シート⑤成績表!$C$11:$AF$75,30,FALSE)))</f>
        <v/>
      </c>
      <c r="U41" s="347">
        <f>IF(BS26=" --",ROW(BS26)+COLUMN(BS26)/100,BS26)</f>
        <v>26.71</v>
      </c>
      <c r="V41" s="453" t="str">
        <f>IF($BE$45=1,"",IF(BB26=1,"",VLOOKUP(VLOOKUP(BB26,$BR$70:$BS$135,2,FALSE),シート⑤成績表!$C$11:$AF$75,30,FALSE)))</f>
        <v/>
      </c>
      <c r="W41" s="347">
        <f>IF(BT26=" --",ROW(BT26)+COLUMN(BT26)/100,BT26)</f>
        <v>26.72</v>
      </c>
      <c r="X41" s="453" t="str">
        <f>IF($BE$45=1,"",IF(BC26=1,"",VLOOKUP(VLOOKUP(BC26,$BR$70:$BS$135,2,FALSE),シート⑤成績表!$C$11:$AF$75,30,FALSE)))</f>
        <v/>
      </c>
      <c r="Y41" s="347">
        <f>IF(BU26=" --",ROW(BU26)+COLUMN(BU26)/100,BU26)</f>
        <v>26.73</v>
      </c>
      <c r="Z41" s="113"/>
      <c r="AA41" s="343" t="s">
        <v>327</v>
      </c>
      <c r="AB41" s="340" t="str">
        <f>CP66</f>
        <v>0 名</v>
      </c>
      <c r="AE41" s="23"/>
      <c r="AF41" s="23"/>
      <c r="AG41" s="23"/>
      <c r="AI41" s="96"/>
      <c r="AL41" s="96"/>
      <c r="AM41" s="96"/>
      <c r="AP41" s="96"/>
      <c r="AR41" s="261"/>
      <c r="AS41" s="108"/>
      <c r="AT41" s="15"/>
      <c r="AV41" s="23">
        <v>1</v>
      </c>
      <c r="AW41" s="320" t="str">
        <f t="shared" si="58"/>
        <v/>
      </c>
      <c r="AX41" s="290"/>
      <c r="AY41" s="290"/>
      <c r="AZ41" s="290"/>
      <c r="BA41" s="290"/>
      <c r="BB41" s="290"/>
      <c r="BC41" s="294"/>
      <c r="BG41" s="173"/>
      <c r="BH41" s="196"/>
      <c r="BI41" s="196"/>
      <c r="BJ41" s="197"/>
      <c r="BK41" s="23"/>
      <c r="BL41" s="173"/>
      <c r="BM41" s="196"/>
      <c r="BN41" s="196"/>
      <c r="BO41" s="197"/>
      <c r="BR41" s="479"/>
      <c r="BS41" s="480"/>
      <c r="BT41" s="480"/>
      <c r="BU41" s="481"/>
      <c r="BW41" s="160"/>
      <c r="BX41" s="611"/>
      <c r="BY41" s="234"/>
      <c r="BZ41" s="234"/>
      <c r="CA41" s="612"/>
      <c r="CD41" s="381" t="str">
        <f>IF(BX40="","",VLOOKUP(BX40,シート⑤成績表!$C$11:$AE$75,29,FALSE))</f>
        <v/>
      </c>
      <c r="CE41" s="382" t="str">
        <f>IF(BY40="","",VLOOKUP(BY40,シート⑤成績表!$C$11:$AE$75,29,FALSE))</f>
        <v/>
      </c>
      <c r="CF41" s="382" t="str">
        <f>IF(BZ40="","",VLOOKUP(BZ40,シート⑤成績表!$C$11:$AE$75,29,FALSE))</f>
        <v/>
      </c>
      <c r="CG41" s="383" t="str">
        <f>IF(CA40="","",VLOOKUP(CA40,シート⑤成績表!$C$11:$AE$75,29,FALSE))</f>
        <v/>
      </c>
      <c r="CH41" s="184"/>
      <c r="CJ41" s="173" t="str">
        <f>IF(シート④スコア記入依頼用紙!F20="","",IF(シート④スコア記入依頼用紙!F20=0,"",シート④スコア記入依頼用紙!F20))</f>
        <v/>
      </c>
      <c r="CK41" s="196" t="str">
        <f>IF(シート④スコア記入依頼用紙!G20="","",IF(シート④スコア記入依頼用紙!G20=0,"",シート④スコア記入依頼用紙!G20))</f>
        <v/>
      </c>
      <c r="CL41" s="196" t="str">
        <f>IF(シート④スコア記入依頼用紙!H20="","",IF(シート④スコア記入依頼用紙!H20=0,"",シート④スコア記入依頼用紙!H20))</f>
        <v/>
      </c>
      <c r="CM41" s="197" t="str">
        <f>IF(シート④スコア記入依頼用紙!I20="","",IF(シート④スコア記入依頼用紙!I20=0,"",シート④スコア記入依頼用紙!I20))</f>
        <v/>
      </c>
      <c r="CN41" s="615">
        <f>SUM(CJ41:CM41)</f>
        <v>0</v>
      </c>
      <c r="CO41" s="23">
        <f t="shared" si="9"/>
        <v>30</v>
      </c>
      <c r="CP41" s="246" t="e">
        <f>IF($CP$6=1,CK26,IF($CP$6=2,CK52,""))</f>
        <v>#VALUE!</v>
      </c>
      <c r="CQ41" s="246" t="e">
        <f>IF($CP$6=1,CK27,IF($CP$6=2,CK53,""))</f>
        <v>#VALUE!</v>
      </c>
      <c r="CS41" s="246" t="str">
        <f>集計!B35</f>
        <v>鈴木</v>
      </c>
      <c r="CT41" s="584" t="str">
        <f t="shared" si="2"/>
        <v/>
      </c>
      <c r="CU41" s="545" t="e">
        <f t="shared" si="3"/>
        <v>#VALUE!</v>
      </c>
      <c r="CV41" s="585" t="str">
        <f t="shared" si="4"/>
        <v/>
      </c>
      <c r="CW41" s="183"/>
      <c r="CX41" s="545" t="e">
        <f>IF(INDEX(シート⑤成績表!$E$11:$W$75,ROW(CX41)-11,シート①入力画面!$CT$9)="","",INDEX(シート⑤成績表!$E$11:$W$75,ROW(CX41)-11,シート①入力画面!$CT$9))</f>
        <v>#VALUE!</v>
      </c>
      <c r="CY41" s="160"/>
      <c r="DB41" s="183"/>
      <c r="DC41" s="261"/>
      <c r="DF41"/>
      <c r="DG41"/>
      <c r="DH41"/>
    </row>
    <row r="42" spans="2:116" ht="21.75" customHeight="1" thickBot="1" x14ac:dyDescent="0.2">
      <c r="B42" s="177">
        <f t="shared" si="34"/>
        <v>0</v>
      </c>
      <c r="C42" s="177"/>
      <c r="D42" s="177">
        <f t="shared" si="35"/>
        <v>0</v>
      </c>
      <c r="E42" s="177"/>
      <c r="F42" s="350">
        <f t="shared" si="36"/>
        <v>96</v>
      </c>
      <c r="G42" s="344" t="str">
        <f>集計!B22</f>
        <v>神林</v>
      </c>
      <c r="H42" s="372"/>
      <c r="I42" s="344" t="str">
        <f>集計!B43</f>
        <v>中山</v>
      </c>
      <c r="J42" s="375"/>
      <c r="K42" s="344" t="str">
        <f>集計!B64</f>
        <v/>
      </c>
      <c r="L42" s="372"/>
      <c r="N42" s="96"/>
      <c r="P42" s="385"/>
      <c r="Q42" s="433"/>
      <c r="R42" s="431" t="str">
        <f>IF($BE$45=1,"",IF(AZ26=1,"",VLOOKUP(VLOOKUP(AZ26,$BR$70:$BS$135,2,FALSE),シート⑤成績表!$C$11:$AF$75,29,FALSE)))</f>
        <v/>
      </c>
      <c r="S42" s="287"/>
      <c r="T42" s="377" t="str">
        <f>IF($BE$45=1,"",IF(BA26=1,"",VLOOKUP(VLOOKUP(BA26,$BR$70:$BS$135,2,FALSE),シート⑤成績表!$C$11:$AF$75,29,FALSE)))</f>
        <v/>
      </c>
      <c r="U42" s="287"/>
      <c r="V42" s="377" t="str">
        <f>IF($BE$45=1,"",IF(BB26=1,"",VLOOKUP(VLOOKUP(BB26,$BR$70:$BS$135,2,FALSE),シート⑤成績表!$C$11:$AF$75,29,FALSE)))</f>
        <v/>
      </c>
      <c r="W42" s="287"/>
      <c r="X42" s="377" t="str">
        <f>IF($BE$45=1,"",IF(BO26=1,"",VLOOKUP(VLOOKUP(BO26,$BR$70:$BS$135,2,FALSE),シート⑤成績表!$C$11:$AF$75,29,FALSE)))</f>
        <v/>
      </c>
      <c r="Y42" s="287"/>
      <c r="Z42" s="112"/>
      <c r="AA42" s="344" t="s">
        <v>328</v>
      </c>
      <c r="AB42" s="341" t="str">
        <f>$CP$67</f>
        <v>0 名</v>
      </c>
      <c r="AE42" s="23"/>
      <c r="AF42" s="23"/>
      <c r="AG42" s="23"/>
      <c r="AI42" s="96"/>
      <c r="AL42" s="96"/>
      <c r="AM42" s="96"/>
      <c r="AP42" s="96"/>
      <c r="AR42" s="261"/>
      <c r="AS42" s="483" t="s">
        <v>239</v>
      </c>
      <c r="AT42" s="714" t="s">
        <v>701</v>
      </c>
      <c r="AV42" s="23">
        <v>4</v>
      </c>
      <c r="AW42" s="320" t="str">
        <f t="shared" si="58"/>
        <v/>
      </c>
      <c r="AX42" s="296"/>
      <c r="AY42" s="290"/>
      <c r="AZ42" s="290"/>
      <c r="BA42" s="290"/>
      <c r="BB42" s="290"/>
      <c r="BC42" s="294"/>
      <c r="BG42" s="173" t="str">
        <f>組合せﾃﾞｰﾀ!AD11</f>
        <v/>
      </c>
      <c r="BH42" s="196" t="str">
        <f>組合せﾃﾞｰﾀ!AE11</f>
        <v/>
      </c>
      <c r="BI42" s="196" t="str">
        <f>組合せﾃﾞｰﾀ!AF11</f>
        <v/>
      </c>
      <c r="BJ42" s="197" t="str">
        <f>組合せﾃﾞｰﾀ!AG11</f>
        <v/>
      </c>
      <c r="BK42" s="23"/>
      <c r="BL42" s="173" t="str">
        <f>組合せﾃﾞｰﾀ!AN11</f>
        <v/>
      </c>
      <c r="BM42" s="196" t="str">
        <f>組合せﾃﾞｰﾀ!AO11</f>
        <v/>
      </c>
      <c r="BN42" s="196" t="str">
        <f>組合せﾃﾞｰﾀ!AP11</f>
        <v/>
      </c>
      <c r="BO42" s="197" t="str">
        <f>組合せﾃﾞｰﾀ!AQ11</f>
        <v/>
      </c>
      <c r="BR42" s="479" t="str">
        <f>IF($BA$45=2,組合せﾃﾞｰﾀ!AN11,組合せﾃﾞｰﾀ!AD11)</f>
        <v/>
      </c>
      <c r="BS42" s="480" t="str">
        <f>IF($BA$45=2,組合せﾃﾞｰﾀ!AO11,組合せﾃﾞｰﾀ!AE11)</f>
        <v/>
      </c>
      <c r="BT42" s="480" t="str">
        <f>IF($BA$45=2,組合せﾃﾞｰﾀ!AP11,組合せﾃﾞｰﾀ!AF11)</f>
        <v/>
      </c>
      <c r="BU42" s="481" t="str">
        <f>IF($BA$45=2,組合せﾃﾞｰﾀ!AQ11,組合せﾃﾞｰﾀ!AG11)</f>
        <v/>
      </c>
      <c r="BW42" s="160"/>
      <c r="BX42" s="611" t="str">
        <f>IF(BR42="ｷｬﾝｾﾙ1","",IF(BR42="ｷｬﾝｾﾙ2","",IF(BR42="ｷｬﾝｾﾙ3","",IF(BR42="ｷｬﾝｾﾙ4","",IF(BR42="ｷｬﾝｾﾙ5","",IF(BR42="ｷｬﾝｾﾙ6","",IF(BR42="ｷｬﾝｾﾙ7","",IF(BR42="ｷｬﾝｾﾙ8","",IF(BR42="blank","",BR42)))))))))</f>
        <v/>
      </c>
      <c r="BY42" s="234" t="str">
        <f t="shared" ref="BY42" si="65">IF(BS42="ｷｬﾝｾﾙ1","",IF(BS42="ｷｬﾝｾﾙ2","",IF(BS42="ｷｬﾝｾﾙ3","",IF(BS42="ｷｬﾝｾﾙ4","",IF(BS42="ｷｬﾝｾﾙ5","",IF(BS42="ｷｬﾝｾﾙ6","",IF(BS42="ｷｬﾝｾﾙ7","",IF(BS42="ｷｬﾝｾﾙ8","",IF(BS42="blank","",BS42)))))))))</f>
        <v/>
      </c>
      <c r="BZ42" s="234" t="str">
        <f t="shared" ref="BZ42" si="66">IF(BT42="ｷｬﾝｾﾙ1","",IF(BT42="ｷｬﾝｾﾙ2","",IF(BT42="ｷｬﾝｾﾙ3","",IF(BT42="ｷｬﾝｾﾙ4","",IF(BT42="ｷｬﾝｾﾙ5","",IF(BT42="ｷｬﾝｾﾙ6","",IF(BT42="ｷｬﾝｾﾙ7","",IF(BT42="ｷｬﾝｾﾙ8","",IF(BT42="blank","",BT42)))))))))</f>
        <v/>
      </c>
      <c r="CA42" s="612" t="str">
        <f t="shared" ref="CA42" si="67">IF(BU42="ｷｬﾝｾﾙ1","",IF(BU42="ｷｬﾝｾﾙ2","",IF(BU42="ｷｬﾝｾﾙ3","",IF(BU42="ｷｬﾝｾﾙ4","",IF(BU42="ｷｬﾝｾﾙ5","",IF(BU42="ｷｬﾝｾﾙ6","",IF(BU42="ｷｬﾝｾﾙ7","",IF(BU42="ｷｬﾝｾﾙ8","",IF(BU42="blank","",BU42)))))))))</f>
        <v/>
      </c>
      <c r="CD42" s="378" t="str">
        <f>IF(BX42="","",VLOOKUP(BX42,シート⑤成績表!$C$11:$AE$75,22,FALSE))</f>
        <v/>
      </c>
      <c r="CE42" s="379" t="str">
        <f>IF(BY42="","",VLOOKUP(BY42,シート⑤成績表!$C$11:$AE$75,22,FALSE))</f>
        <v/>
      </c>
      <c r="CF42" s="379" t="str">
        <f>IF(BZ42="","",VLOOKUP(BZ42,シート⑤成績表!$C$11:$AE$75,22,FALSE))</f>
        <v/>
      </c>
      <c r="CG42" s="380" t="str">
        <f>IF(CA42="","",VLOOKUP(CA42,シート⑤成績表!$C$11:$AE$75,22,FALSE))</f>
        <v/>
      </c>
      <c r="CH42" s="184"/>
      <c r="CI42" s="183"/>
      <c r="CJ42" s="611" t="str">
        <f t="shared" ref="CJ42:CM42" si="68">BX42</f>
        <v/>
      </c>
      <c r="CK42" s="234" t="str">
        <f t="shared" si="68"/>
        <v/>
      </c>
      <c r="CL42" s="234" t="str">
        <f t="shared" si="68"/>
        <v/>
      </c>
      <c r="CM42" s="612" t="str">
        <f t="shared" si="68"/>
        <v/>
      </c>
      <c r="CN42" s="615"/>
      <c r="CO42" s="23">
        <f t="shared" si="9"/>
        <v>31</v>
      </c>
      <c r="CP42" s="246" t="e">
        <f>IF($CP$6=1,CL26,IF($CP$6=2,CL52,""))</f>
        <v>#VALUE!</v>
      </c>
      <c r="CQ42" s="246" t="e">
        <f>IF($CP$6=1,CL27,IF($CP$6=2,CL53,""))</f>
        <v>#VALUE!</v>
      </c>
      <c r="CS42" s="246" t="str">
        <f>集計!B36</f>
        <v>高木</v>
      </c>
      <c r="CT42" s="584" t="str">
        <f t="shared" si="2"/>
        <v/>
      </c>
      <c r="CU42" s="545" t="e">
        <f t="shared" si="3"/>
        <v>#VALUE!</v>
      </c>
      <c r="CV42" s="585" t="str">
        <f t="shared" si="4"/>
        <v/>
      </c>
      <c r="CW42" s="96"/>
      <c r="CX42" s="545" t="e">
        <f>IF(INDEX(シート⑤成績表!$E$11:$W$75,ROW(CX42)-11,シート①入力画面!$CT$9)="","",INDEX(シート⑤成績表!$E$11:$W$75,ROW(CX42)-11,シート①入力画面!$CT$9))</f>
        <v>#VALUE!</v>
      </c>
      <c r="CY42" s="160"/>
      <c r="DB42" s="183"/>
      <c r="DC42" s="261"/>
      <c r="DF42"/>
      <c r="DG42"/>
      <c r="DH42"/>
    </row>
    <row r="43" spans="2:116" ht="21.75" customHeight="1" thickBot="1" x14ac:dyDescent="0.2">
      <c r="B43" s="177">
        <f t="shared" si="34"/>
        <v>0</v>
      </c>
      <c r="C43" s="177"/>
      <c r="D43" s="177">
        <f t="shared" si="35"/>
        <v>0</v>
      </c>
      <c r="E43" s="177"/>
      <c r="F43" s="350">
        <f t="shared" si="36"/>
        <v>96</v>
      </c>
      <c r="G43" s="344" t="str">
        <f>集計!B23</f>
        <v>君島</v>
      </c>
      <c r="H43" s="372"/>
      <c r="I43" s="344" t="str">
        <f>集計!B44</f>
        <v>林</v>
      </c>
      <c r="J43" s="375"/>
      <c r="K43" s="344" t="str">
        <f>集計!B65</f>
        <v/>
      </c>
      <c r="L43" s="372"/>
      <c r="N43" s="96"/>
      <c r="O43" s="15"/>
      <c r="P43" s="313"/>
      <c r="Q43" s="434"/>
      <c r="R43" s="453" t="str">
        <f>IF($BE$45=1,"",IF(AZ28=1,"",VLOOKUP(VLOOKUP(AZ28,$BR$70:$BS$135,2,FALSE),シート⑤成績表!$C$11:$AF$75,30,FALSE)))</f>
        <v/>
      </c>
      <c r="S43" s="347">
        <f>IF(BR28=" --",ROW(BR28)+COLUMN(BR28)/100,BR28)</f>
        <v>28.7</v>
      </c>
      <c r="T43" s="453" t="str">
        <f>IF($BE$45=1,"",IF(BA28=1,"",VLOOKUP(VLOOKUP(BA28,$BR$70:$BS$135,2,FALSE),シート⑤成績表!$C$11:$AF$75,30,FALSE)))</f>
        <v/>
      </c>
      <c r="U43" s="347">
        <f>IF(BS28=" --",ROW(BS28)+COLUMN(BS28)/100,BS28)</f>
        <v>28.71</v>
      </c>
      <c r="V43" s="453" t="str">
        <f>IF($BE$45=1,"",IF(BB28=1,"",VLOOKUP(VLOOKUP(BB28,$BR$70:$BS$135,2,FALSE),シート⑤成績表!$C$11:$AF$75,30,FALSE)))</f>
        <v/>
      </c>
      <c r="W43" s="347">
        <f>IF(BT28=" --",ROW(BT28)+COLUMN(BT28)/100,BT28)</f>
        <v>28.72</v>
      </c>
      <c r="X43" s="453" t="str">
        <f>IF($BE$45=1,"",IF(BC28=1,"",VLOOKUP(VLOOKUP(BC28,$BR$70:$BS$135,2,FALSE),シート⑤成績表!$C$11:$AF$75,30,FALSE)))</f>
        <v/>
      </c>
      <c r="Y43" s="347">
        <f>IF(BU28=" --",ROW(BU28)+COLUMN(BU28)/100,BU28)</f>
        <v>28.73</v>
      </c>
      <c r="Z43" s="113"/>
      <c r="AA43" s="345" t="s">
        <v>329</v>
      </c>
      <c r="AB43" s="342" t="e">
        <f>$CP$68</f>
        <v>#VALUE!</v>
      </c>
      <c r="AE43" s="23"/>
      <c r="AF43" s="23"/>
      <c r="AG43" s="23"/>
      <c r="AH43" s="96"/>
      <c r="AK43" s="96"/>
      <c r="AL43" s="96"/>
      <c r="AP43" s="96"/>
      <c r="AR43" s="261"/>
      <c r="AS43" s="474"/>
      <c r="AT43" s="322" t="s">
        <v>538</v>
      </c>
      <c r="BG43" s="173"/>
      <c r="BH43" s="196"/>
      <c r="BI43" s="196"/>
      <c r="BJ43" s="197"/>
      <c r="BK43" s="23"/>
      <c r="BL43" s="173"/>
      <c r="BM43" s="196"/>
      <c r="BN43" s="196"/>
      <c r="BO43" s="197"/>
      <c r="BR43" s="479"/>
      <c r="BS43" s="480"/>
      <c r="BT43" s="480"/>
      <c r="BU43" s="481"/>
      <c r="BX43" s="611"/>
      <c r="BY43" s="234"/>
      <c r="BZ43" s="234"/>
      <c r="CA43" s="612"/>
      <c r="CD43" s="381" t="str">
        <f>IF(BX42="","",VLOOKUP(BX42,シート⑤成績表!$C$11:$AE$75,29,FALSE))</f>
        <v/>
      </c>
      <c r="CE43" s="382" t="str">
        <f>IF(BY42="","",VLOOKUP(BY42,シート⑤成績表!$C$11:$AE$75,29,FALSE))</f>
        <v/>
      </c>
      <c r="CF43" s="382" t="str">
        <f>IF(BZ42="","",VLOOKUP(BZ42,シート⑤成績表!$C$11:$AE$75,29,FALSE))</f>
        <v/>
      </c>
      <c r="CG43" s="383" t="str">
        <f>IF(CA42="","",VLOOKUP(CA42,シート⑤成績表!$C$11:$AE$75,29,FALSE))</f>
        <v/>
      </c>
      <c r="CH43" s="184"/>
      <c r="CI43" s="183"/>
      <c r="CJ43" s="173" t="str">
        <f>IF(シート④スコア記入依頼用紙!F23="","",IF(シート④スコア記入依頼用紙!F23=0,"",シート④スコア記入依頼用紙!F23))</f>
        <v/>
      </c>
      <c r="CK43" s="196" t="str">
        <f>IF(シート④スコア記入依頼用紙!G23="","",IF(シート④スコア記入依頼用紙!G23=0,"",シート④スコア記入依頼用紙!G23))</f>
        <v/>
      </c>
      <c r="CL43" s="196" t="str">
        <f>IF(シート④スコア記入依頼用紙!H23="","",IF(シート④スコア記入依頼用紙!H23=0,"",シート④スコア記入依頼用紙!H23))</f>
        <v/>
      </c>
      <c r="CM43" s="197" t="str">
        <f>IF(シート④スコア記入依頼用紙!I23="","",IF(シート④スコア記入依頼用紙!I23=0,"",シート④スコア記入依頼用紙!I23))</f>
        <v/>
      </c>
      <c r="CN43" s="615">
        <f>SUM(CJ43:CM43)</f>
        <v>0</v>
      </c>
      <c r="CO43" s="23">
        <f t="shared" si="9"/>
        <v>32</v>
      </c>
      <c r="CP43" s="246" t="e">
        <f>IF($CP$6=1,CM26,IF($CP$6=2,CM52,""))</f>
        <v>#VALUE!</v>
      </c>
      <c r="CQ43" s="246" t="e">
        <f>IF($CP$6=1,CM27,IF($CP$6=2,CM53,""))</f>
        <v>#VALUE!</v>
      </c>
      <c r="CR43" s="110"/>
      <c r="CS43" s="246" t="str">
        <f>集計!B37</f>
        <v>田中</v>
      </c>
      <c r="CT43" s="584" t="str">
        <f t="shared" si="2"/>
        <v/>
      </c>
      <c r="CU43" s="545" t="e">
        <f t="shared" si="3"/>
        <v>#VALUE!</v>
      </c>
      <c r="CV43" s="585" t="str">
        <f t="shared" si="4"/>
        <v/>
      </c>
      <c r="CX43" s="545" t="e">
        <f>IF(INDEX(シート⑤成績表!$E$11:$W$75,ROW(CX43)-11,シート①入力画面!$CT$9)="","",INDEX(シート⑤成績表!$E$11:$W$75,ROW(CX43)-11,シート①入力画面!$CT$9))</f>
        <v>#VALUE!</v>
      </c>
      <c r="DC43" s="261"/>
    </row>
    <row r="44" spans="2:116" ht="21.75" customHeight="1" thickBot="1" x14ac:dyDescent="0.2">
      <c r="B44" s="177">
        <f t="shared" si="34"/>
        <v>0</v>
      </c>
      <c r="C44" s="177"/>
      <c r="D44" s="177">
        <f t="shared" si="35"/>
        <v>0</v>
      </c>
      <c r="E44" s="177"/>
      <c r="F44" s="350">
        <f t="shared" si="36"/>
        <v>96</v>
      </c>
      <c r="G44" s="344" t="str">
        <f>集計!B24</f>
        <v>郷間</v>
      </c>
      <c r="H44" s="372"/>
      <c r="I44" s="344" t="str">
        <f>集計!B45</f>
        <v>福山</v>
      </c>
      <c r="J44" s="375"/>
      <c r="K44" s="344" t="str">
        <f>集計!B66</f>
        <v/>
      </c>
      <c r="L44" s="372"/>
      <c r="N44" s="96"/>
      <c r="O44" s="15"/>
      <c r="P44" s="385"/>
      <c r="Q44" s="433"/>
      <c r="R44" s="431" t="str">
        <f>IF($BE$45=1,"",IF(AZ28=1,"",VLOOKUP(VLOOKUP(AZ28,$BR$70:$BS$135,2,FALSE),シート⑤成績表!$C$11:$AF$75,29,FALSE)))</f>
        <v/>
      </c>
      <c r="S44" s="287"/>
      <c r="T44" s="377" t="str">
        <f>IF($BE$45=1,"",IF(BA28=1,"",VLOOKUP(VLOOKUP(BA28,$BR$70:$BS$135,2,FALSE),シート⑤成績表!$C$11:$AF$75,29,FALSE)))</f>
        <v/>
      </c>
      <c r="U44" s="287"/>
      <c r="V44" s="377" t="str">
        <f>IF($BE$45=1,"",IF(BB28=1,"",VLOOKUP(VLOOKUP(BB28,$BR$70:$BS$135,2,FALSE),シート⑤成績表!$C$11:$AF$75,29,FALSE)))</f>
        <v/>
      </c>
      <c r="W44" s="287"/>
      <c r="X44" s="377" t="str">
        <f>IF($BE$45=1,"",IF(BO28=1,"",VLOOKUP(VLOOKUP(BO28,$BR$70:$BS$135,2,FALSE),シート⑤成績表!$C$11:$AF$75,29,FALSE)))</f>
        <v/>
      </c>
      <c r="Y44" s="287"/>
      <c r="Z44" s="112"/>
      <c r="AA44" s="660" t="s">
        <v>619</v>
      </c>
      <c r="AB44" s="229"/>
      <c r="AE44" s="23"/>
      <c r="AF44" s="23"/>
      <c r="AG44" s="23"/>
      <c r="AI44" s="96"/>
      <c r="AL44" s="96"/>
      <c r="AM44" s="96"/>
      <c r="AP44" s="96"/>
      <c r="AR44" s="261"/>
      <c r="AS44" s="474"/>
      <c r="AT44" s="478" t="s">
        <v>503</v>
      </c>
      <c r="AY44" s="257" t="s">
        <v>231</v>
      </c>
      <c r="AZ44" s="241"/>
      <c r="BA44" s="257" t="s">
        <v>242</v>
      </c>
      <c r="BB44" s="241"/>
      <c r="BC44" s="436" t="s">
        <v>230</v>
      </c>
      <c r="BE44" s="111" t="s">
        <v>356</v>
      </c>
      <c r="BG44" s="173" t="str">
        <f>組合せﾃﾞｰﾀ!AD13</f>
        <v/>
      </c>
      <c r="BH44" s="196" t="str">
        <f>組合せﾃﾞｰﾀ!AE13</f>
        <v/>
      </c>
      <c r="BI44" s="196" t="str">
        <f>組合せﾃﾞｰﾀ!AF13</f>
        <v/>
      </c>
      <c r="BJ44" s="197" t="str">
        <f>組合せﾃﾞｰﾀ!AG13</f>
        <v/>
      </c>
      <c r="BK44" s="23"/>
      <c r="BL44" s="173" t="str">
        <f>組合せﾃﾞｰﾀ!AN13</f>
        <v/>
      </c>
      <c r="BM44" s="196" t="str">
        <f>組合せﾃﾞｰﾀ!AO13</f>
        <v/>
      </c>
      <c r="BN44" s="196" t="str">
        <f>組合せﾃﾞｰﾀ!AP13</f>
        <v/>
      </c>
      <c r="BO44" s="197" t="str">
        <f>組合せﾃﾞｰﾀ!AQ13</f>
        <v/>
      </c>
      <c r="BR44" s="479" t="str">
        <f>IF($BA$45=2,組合せﾃﾞｰﾀ!AN13,組合せﾃﾞｰﾀ!AD13)</f>
        <v/>
      </c>
      <c r="BS44" s="480" t="str">
        <f>IF($BA$45=2,組合せﾃﾞｰﾀ!AO13,組合せﾃﾞｰﾀ!AE13)</f>
        <v/>
      </c>
      <c r="BT44" s="480" t="str">
        <f>IF($BA$45=2,組合せﾃﾞｰﾀ!AP13,組合せﾃﾞｰﾀ!AF13)</f>
        <v/>
      </c>
      <c r="BU44" s="481" t="str">
        <f>IF($BA$45=2,組合せﾃﾞｰﾀ!AQ13,組合せﾃﾞｰﾀ!AG13)</f>
        <v/>
      </c>
      <c r="BX44" s="611" t="str">
        <f>IF(BR44="ｷｬﾝｾﾙ1","",IF(BR44="ｷｬﾝｾﾙ2","",IF(BR44="ｷｬﾝｾﾙ3","",IF(BR44="ｷｬﾝｾﾙ4","",IF(BR44="ｷｬﾝｾﾙ5","",IF(BR44="ｷｬﾝｾﾙ6","",IF(BR44="ｷｬﾝｾﾙ7","",IF(BR44="ｷｬﾝｾﾙ8","",IF(BR44="blank","",BR44)))))))))</f>
        <v/>
      </c>
      <c r="BY44" s="234" t="str">
        <f t="shared" ref="BY44" si="69">IF(BS44="ｷｬﾝｾﾙ1","",IF(BS44="ｷｬﾝｾﾙ2","",IF(BS44="ｷｬﾝｾﾙ3","",IF(BS44="ｷｬﾝｾﾙ4","",IF(BS44="ｷｬﾝｾﾙ5","",IF(BS44="ｷｬﾝｾﾙ6","",IF(BS44="ｷｬﾝｾﾙ7","",IF(BS44="ｷｬﾝｾﾙ8","",IF(BS44="blank","",BS44)))))))))</f>
        <v/>
      </c>
      <c r="BZ44" s="234" t="str">
        <f t="shared" ref="BZ44" si="70">IF(BT44="ｷｬﾝｾﾙ1","",IF(BT44="ｷｬﾝｾﾙ2","",IF(BT44="ｷｬﾝｾﾙ3","",IF(BT44="ｷｬﾝｾﾙ4","",IF(BT44="ｷｬﾝｾﾙ5","",IF(BT44="ｷｬﾝｾﾙ6","",IF(BT44="ｷｬﾝｾﾙ7","",IF(BT44="ｷｬﾝｾﾙ8","",IF(BT44="blank","",BT44)))))))))</f>
        <v/>
      </c>
      <c r="CA44" s="612" t="str">
        <f t="shared" ref="CA44" si="71">IF(BU44="ｷｬﾝｾﾙ1","",IF(BU44="ｷｬﾝｾﾙ2","",IF(BU44="ｷｬﾝｾﾙ3","",IF(BU44="ｷｬﾝｾﾙ4","",IF(BU44="ｷｬﾝｾﾙ5","",IF(BU44="ｷｬﾝｾﾙ6","",IF(BU44="ｷｬﾝｾﾙ7","",IF(BU44="ｷｬﾝｾﾙ8","",IF(BU44="blank","",BU44)))))))))</f>
        <v/>
      </c>
      <c r="CD44" s="378" t="str">
        <f>IF(BX44="","",VLOOKUP(BX44,シート⑤成績表!$C$11:$AE$75,22,FALSE))</f>
        <v/>
      </c>
      <c r="CE44" s="379" t="str">
        <f>IF(BY44="","",VLOOKUP(BY44,シート⑤成績表!$C$11:$AE$75,22,FALSE))</f>
        <v/>
      </c>
      <c r="CF44" s="379" t="str">
        <f>IF(BZ44="","",VLOOKUP(BZ44,シート⑤成績表!$C$11:$AE$75,22,FALSE))</f>
        <v/>
      </c>
      <c r="CG44" s="380" t="str">
        <f>IF(CA44="","",VLOOKUP(CA44,シート⑤成績表!$C$11:$AE$75,22,FALSE))</f>
        <v/>
      </c>
      <c r="CJ44" s="611" t="str">
        <f t="shared" ref="CJ44:CM44" si="72">BX44</f>
        <v/>
      </c>
      <c r="CK44" s="234" t="str">
        <f t="shared" si="72"/>
        <v/>
      </c>
      <c r="CL44" s="234" t="str">
        <f t="shared" si="72"/>
        <v/>
      </c>
      <c r="CM44" s="612" t="str">
        <f t="shared" si="72"/>
        <v/>
      </c>
      <c r="CN44" s="615"/>
      <c r="CO44" s="23">
        <f t="shared" si="9"/>
        <v>33</v>
      </c>
      <c r="CP44" s="246" t="e">
        <f>IF($CP$6=1,CJ28,IF($CP$6=2,CJ54,""))</f>
        <v>#VALUE!</v>
      </c>
      <c r="CQ44" s="246" t="e">
        <f>IF($CP$6=1,CJ29,IF($CP$6=2,CJ55,""))</f>
        <v>#VALUE!</v>
      </c>
      <c r="CR44" s="111"/>
      <c r="CS44" s="246" t="str">
        <f>集計!B38</f>
        <v>塚越</v>
      </c>
      <c r="CT44" s="584" t="str">
        <f t="shared" si="2"/>
        <v/>
      </c>
      <c r="CU44" s="545" t="e">
        <f t="shared" si="3"/>
        <v>#VALUE!</v>
      </c>
      <c r="CV44" s="585" t="str">
        <f t="shared" si="4"/>
        <v/>
      </c>
      <c r="CX44" s="545" t="e">
        <f>IF(INDEX(シート⑤成績表!$E$11:$W$75,ROW(CX44)-11,シート①入力画面!$CT$9)="","",INDEX(シート⑤成績表!$E$11:$W$75,ROW(CX44)-11,シート①入力画面!$CT$9))</f>
        <v>#VALUE!</v>
      </c>
      <c r="DC44" s="261"/>
    </row>
    <row r="45" spans="2:116" ht="21.75" customHeight="1" thickBot="1" x14ac:dyDescent="0.2">
      <c r="B45" s="177">
        <f t="shared" si="34"/>
        <v>0</v>
      </c>
      <c r="C45" s="177"/>
      <c r="D45" s="177">
        <f t="shared" si="35"/>
        <v>0</v>
      </c>
      <c r="E45" s="177"/>
      <c r="F45" s="350">
        <f t="shared" si="36"/>
        <v>96</v>
      </c>
      <c r="G45" s="344" t="str">
        <f>集計!B25</f>
        <v>小林邦</v>
      </c>
      <c r="H45" s="372"/>
      <c r="I45" s="344" t="str">
        <f>集計!B46</f>
        <v>藤田</v>
      </c>
      <c r="J45" s="375"/>
      <c r="K45" s="344" t="str">
        <f>集計!B67</f>
        <v/>
      </c>
      <c r="L45" s="372"/>
      <c r="N45" s="96"/>
      <c r="O45" s="15"/>
      <c r="P45" s="313"/>
      <c r="Q45" s="434"/>
      <c r="R45" s="453" t="str">
        <f>IF($BE$45=1,"",IF(AZ30=1,"",VLOOKUP(VLOOKUP(AZ30,$BR$70:$BS$135,2,FALSE),シート⑤成績表!$C$11:$AF$75,30,FALSE)))</f>
        <v/>
      </c>
      <c r="S45" s="347">
        <f>IF(BR30=" --",ROW(BR30)+COLUMN(BR30)/100,BR30)</f>
        <v>30.7</v>
      </c>
      <c r="T45" s="453" t="str">
        <f>IF($BE$45=1,"",IF(BA30=1,"",VLOOKUP(VLOOKUP(BA30,$BR$70:$BS$135,2,FALSE),シート⑤成績表!$C$11:$AF$75,30,FALSE)))</f>
        <v/>
      </c>
      <c r="U45" s="347">
        <f>IF(BS30=" --",ROW(BS30)+COLUMN(BS30)/100,BS30)</f>
        <v>30.71</v>
      </c>
      <c r="V45" s="453" t="str">
        <f>IF($BE$45=1,"",IF(BB30=1,"",VLOOKUP(VLOOKUP(BB30,$BR$70:$BS$135,2,FALSE),シート⑤成績表!$C$11:$AF$75,30,FALSE)))</f>
        <v/>
      </c>
      <c r="W45" s="347">
        <f>IF(BT30=" --",ROW(BT30)+COLUMN(BT30)/100,BT30)</f>
        <v>30.72</v>
      </c>
      <c r="X45" s="453" t="str">
        <f>IF($BE$45=1,"",IF(BC30=1,"",VLOOKUP(VLOOKUP(BC30,$BR$70:$BS$135,2,FALSE),シート⑤成績表!$C$11:$AF$75,30,FALSE)))</f>
        <v/>
      </c>
      <c r="Y45" s="347">
        <f>IF(BU30=" --",ROW(BU30)+COLUMN(BU30)/100,BU30)</f>
        <v>30.73</v>
      </c>
      <c r="Z45" s="113"/>
      <c r="AA45" s="668" t="s">
        <v>617</v>
      </c>
      <c r="AB45" s="663" t="e">
        <f>CU81</f>
        <v>#VALUE!</v>
      </c>
      <c r="AF45" s="23"/>
      <c r="AG45" s="23"/>
      <c r="AI45" s="96"/>
      <c r="AL45" s="96"/>
      <c r="AM45" s="96"/>
      <c r="AP45" s="96"/>
      <c r="AR45" s="261"/>
      <c r="AS45" s="474"/>
      <c r="AT45" s="464" t="s">
        <v>502</v>
      </c>
      <c r="AU45" s="23" t="s">
        <v>232</v>
      </c>
      <c r="AW45" s="255">
        <f>IF(BA36=2,IF($AZ$36=1,1,IF($AZ$36=2,3,2)),$AZ$36)</f>
        <v>1</v>
      </c>
      <c r="AX45" s="23"/>
      <c r="AY45" s="256">
        <f>IF($BA$36=2,IF($AW$45=1,1,IF($AW$45=3,2,IF($AW$45=2,$AY$45,IF($AW$45=4,$AY$45,IF($AW$45=5,$AY$45,IF($AW$45=6,$AY$45,"")))))),1)</f>
        <v>1</v>
      </c>
      <c r="BA45" s="256">
        <f>IF($BA$36=2,IF($AZ$36=1,2,IF($AZ$36=2,2,IF($AZ$36=3,2,IF($AZ$36=4,2,IF($AZ$36=5,1,$BA$45))))),IF($AW$45=1,2,IF($AW$45=2,1,$BA$45)))</f>
        <v>2</v>
      </c>
      <c r="BC45" s="258">
        <f>IF($BA$36=2,IF($AZ$36=6,2,1),IF($AW$45=3,2,1))</f>
        <v>1</v>
      </c>
      <c r="BE45" s="258">
        <f>IF($BC$45=2,1,BB36)</f>
        <v>2</v>
      </c>
      <c r="BG45" s="173"/>
      <c r="BH45" s="196"/>
      <c r="BI45" s="196"/>
      <c r="BJ45" s="197"/>
      <c r="BK45" s="23"/>
      <c r="BL45" s="173"/>
      <c r="BM45" s="196"/>
      <c r="BN45" s="196"/>
      <c r="BO45" s="197"/>
      <c r="BR45" s="479"/>
      <c r="BS45" s="480"/>
      <c r="BT45" s="480"/>
      <c r="BU45" s="481"/>
      <c r="BX45" s="611"/>
      <c r="BY45" s="234"/>
      <c r="BZ45" s="234"/>
      <c r="CA45" s="612"/>
      <c r="CB45" s="96"/>
      <c r="CD45" s="381" t="str">
        <f>IF(BX44="","",VLOOKUP(BX44,シート⑤成績表!$C$11:$AE$75,29,FALSE))</f>
        <v/>
      </c>
      <c r="CE45" s="382" t="str">
        <f>IF(BY44="","",VLOOKUP(BY44,シート⑤成績表!$C$11:$AE$75,29,FALSE))</f>
        <v/>
      </c>
      <c r="CF45" s="382" t="str">
        <f>IF(BZ44="","",VLOOKUP(BZ44,シート⑤成績表!$C$11:$AE$75,29,FALSE))</f>
        <v/>
      </c>
      <c r="CG45" s="383" t="str">
        <f>IF(CA44="","",VLOOKUP(CA44,シート⑤成績表!$C$11:$AE$75,29,FALSE))</f>
        <v/>
      </c>
      <c r="CJ45" s="173" t="str">
        <f>IF(シート④スコア記入依頼用紙!F26="","",IF(シート④スコア記入依頼用紙!F26=0,"",シート④スコア記入依頼用紙!F26))</f>
        <v/>
      </c>
      <c r="CK45" s="196" t="str">
        <f>IF(シート④スコア記入依頼用紙!G26="","",IF(シート④スコア記入依頼用紙!G26=0,"",シート④スコア記入依頼用紙!G26))</f>
        <v/>
      </c>
      <c r="CL45" s="196" t="str">
        <f>IF(シート④スコア記入依頼用紙!H26="","",IF(シート④スコア記入依頼用紙!H26=0,"",シート④スコア記入依頼用紙!H26))</f>
        <v/>
      </c>
      <c r="CM45" s="197" t="str">
        <f>IF(シート④スコア記入依頼用紙!I26="","",IF(シート④スコア記入依頼用紙!I26=0,"",シート④スコア記入依頼用紙!I26))</f>
        <v/>
      </c>
      <c r="CN45" s="615">
        <f>SUM(CJ45:CM45)</f>
        <v>0</v>
      </c>
      <c r="CO45" s="23">
        <f t="shared" si="9"/>
        <v>34</v>
      </c>
      <c r="CP45" s="246" t="e">
        <f>IF($CP$6=1,CK28,IF($CP$6=2,CK54,""))</f>
        <v>#VALUE!</v>
      </c>
      <c r="CQ45" s="246" t="e">
        <f>IF($CP$6=1,CK29,IF($CP$6=2,CK55,""))</f>
        <v>#VALUE!</v>
      </c>
      <c r="CR45" s="110"/>
      <c r="CS45" s="246" t="str">
        <f>集計!B39</f>
        <v>次橋</v>
      </c>
      <c r="CT45" s="584" t="str">
        <f t="shared" si="2"/>
        <v/>
      </c>
      <c r="CU45" s="545" t="e">
        <f t="shared" si="3"/>
        <v>#VALUE!</v>
      </c>
      <c r="CV45" s="585" t="str">
        <f t="shared" si="4"/>
        <v/>
      </c>
      <c r="CX45" s="545" t="e">
        <f>IF(INDEX(シート⑤成績表!$E$11:$W$75,ROW(CX45)-11,シート①入力画面!$CT$9)="","",INDEX(シート⑤成績表!$E$11:$W$75,ROW(CX45)-11,シート①入力画面!$CT$9))</f>
        <v>#VALUE!</v>
      </c>
      <c r="DC45" s="261"/>
    </row>
    <row r="46" spans="2:116" ht="21.75" customHeight="1" thickBot="1" x14ac:dyDescent="0.2">
      <c r="B46" s="177">
        <f t="shared" si="34"/>
        <v>0</v>
      </c>
      <c r="C46" s="177"/>
      <c r="D46" s="177">
        <f t="shared" si="35"/>
        <v>0</v>
      </c>
      <c r="E46" s="177"/>
      <c r="F46" s="350">
        <f t="shared" si="36"/>
        <v>96</v>
      </c>
      <c r="G46" s="345" t="str">
        <f>集計!B26</f>
        <v>小林修</v>
      </c>
      <c r="H46" s="373"/>
      <c r="I46" s="345" t="str">
        <f>集計!B47</f>
        <v>古海</v>
      </c>
      <c r="J46" s="376"/>
      <c r="K46" s="345" t="str">
        <f>集計!B68</f>
        <v/>
      </c>
      <c r="L46" s="454"/>
      <c r="N46" s="96"/>
      <c r="O46" s="15"/>
      <c r="P46" s="385"/>
      <c r="Q46" s="433"/>
      <c r="R46" s="377" t="str">
        <f>IF($BE$45=1,"",IF(AZ30=1,"",VLOOKUP(VLOOKUP(AZ30,$BR$70:$BS$135,2,FALSE),シート⑤成績表!$C$11:$AF$75,29,FALSE)))</f>
        <v/>
      </c>
      <c r="S46" s="287"/>
      <c r="T46" s="377" t="str">
        <f>IF($BE$45=1,"",IF(BA30=1,"",VLOOKUP(VLOOKUP(BA30,$BR$70:$BS$135,2,FALSE),シート⑤成績表!$C$11:$AF$75,29,FALSE)))</f>
        <v/>
      </c>
      <c r="U46" s="287"/>
      <c r="V46" s="377" t="str">
        <f>IF($BE$45=1,"",IF(BB30=1,"",VLOOKUP(VLOOKUP(BB30,$BR$70:$BS$135,2,FALSE),シート⑤成績表!$C$11:$AF$75,29,FALSE)))</f>
        <v/>
      </c>
      <c r="W46" s="287"/>
      <c r="X46" s="377" t="str">
        <f>IF($BE$45=1,"",IF(BO30=1,"",VLOOKUP(VLOOKUP(BO30,$BR$70:$BS$135,2,FALSE),シート⑤成績表!$C$11:$AF$75,29,FALSE)))</f>
        <v/>
      </c>
      <c r="Y46" s="287"/>
      <c r="Z46" s="112"/>
      <c r="AA46" s="669" t="s">
        <v>618</v>
      </c>
      <c r="AB46" s="664" t="str">
        <f t="shared" ref="AB46:AB49" si="73">CU82</f>
        <v>-</v>
      </c>
      <c r="AE46" s="23"/>
      <c r="AF46" s="23"/>
      <c r="AG46" s="23"/>
      <c r="AI46" s="96"/>
      <c r="AL46" s="96"/>
      <c r="AM46" s="96"/>
      <c r="AP46" s="96"/>
      <c r="AR46" s="261"/>
      <c r="AS46" s="474"/>
      <c r="AT46" s="484" t="s">
        <v>491</v>
      </c>
      <c r="AY46" s="270" t="s">
        <v>244</v>
      </c>
      <c r="BA46" s="269" t="s">
        <v>243</v>
      </c>
      <c r="BC46" s="270" t="s">
        <v>253</v>
      </c>
      <c r="BE46" s="270" t="s">
        <v>357</v>
      </c>
      <c r="BG46" s="173" t="str">
        <f>組合せﾃﾞｰﾀ!AD15</f>
        <v/>
      </c>
      <c r="BH46" s="196" t="str">
        <f>組合せﾃﾞｰﾀ!AE15</f>
        <v/>
      </c>
      <c r="BI46" s="196" t="str">
        <f>組合せﾃﾞｰﾀ!AF15</f>
        <v/>
      </c>
      <c r="BJ46" s="197" t="str">
        <f>組合せﾃﾞｰﾀ!AG15</f>
        <v/>
      </c>
      <c r="BK46" s="23"/>
      <c r="BL46" s="173" t="str">
        <f>組合せﾃﾞｰﾀ!AN15</f>
        <v/>
      </c>
      <c r="BM46" s="196" t="str">
        <f>組合せﾃﾞｰﾀ!AO15</f>
        <v/>
      </c>
      <c r="BN46" s="196" t="str">
        <f>組合せﾃﾞｰﾀ!AP15</f>
        <v/>
      </c>
      <c r="BO46" s="197" t="str">
        <f>組合せﾃﾞｰﾀ!AQ15</f>
        <v/>
      </c>
      <c r="BR46" s="479" t="str">
        <f>IF($BA$45=2,組合せﾃﾞｰﾀ!AN15,組合せﾃﾞｰﾀ!AD15)</f>
        <v/>
      </c>
      <c r="BS46" s="480" t="str">
        <f>IF($BA$45=2,組合せﾃﾞｰﾀ!AO15,組合せﾃﾞｰﾀ!AE15)</f>
        <v/>
      </c>
      <c r="BT46" s="480" t="str">
        <f>IF($BA$45=2,組合せﾃﾞｰﾀ!AP15,組合せﾃﾞｰﾀ!AF15)</f>
        <v/>
      </c>
      <c r="BU46" s="481" t="str">
        <f>IF($BA$45=2,組合せﾃﾞｰﾀ!AQ15,組合せﾃﾞｰﾀ!AG15)</f>
        <v/>
      </c>
      <c r="BX46" s="611" t="str">
        <f>IF(BR46="ｷｬﾝｾﾙ1","",IF(BR46="ｷｬﾝｾﾙ2","",IF(BR46="ｷｬﾝｾﾙ3","",IF(BR46="ｷｬﾝｾﾙ4","",IF(BR46="ｷｬﾝｾﾙ5","",IF(BR46="ｷｬﾝｾﾙ6","",IF(BR46="ｷｬﾝｾﾙ7","",IF(BR46="ｷｬﾝｾﾙ8","",IF(BR46="blank","",BR46)))))))))</f>
        <v/>
      </c>
      <c r="BY46" s="234" t="str">
        <f t="shared" ref="BY46" si="74">IF(BS46="ｷｬﾝｾﾙ1","",IF(BS46="ｷｬﾝｾﾙ2","",IF(BS46="ｷｬﾝｾﾙ3","",IF(BS46="ｷｬﾝｾﾙ4","",IF(BS46="ｷｬﾝｾﾙ5","",IF(BS46="ｷｬﾝｾﾙ6","",IF(BS46="ｷｬﾝｾﾙ7","",IF(BS46="ｷｬﾝｾﾙ8","",IF(BS46="blank","",BS46)))))))))</f>
        <v/>
      </c>
      <c r="BZ46" s="234" t="str">
        <f t="shared" ref="BZ46" si="75">IF(BT46="ｷｬﾝｾﾙ1","",IF(BT46="ｷｬﾝｾﾙ2","",IF(BT46="ｷｬﾝｾﾙ3","",IF(BT46="ｷｬﾝｾﾙ4","",IF(BT46="ｷｬﾝｾﾙ5","",IF(BT46="ｷｬﾝｾﾙ6","",IF(BT46="ｷｬﾝｾﾙ7","",IF(BT46="ｷｬﾝｾﾙ8","",IF(BT46="blank","",BT46)))))))))</f>
        <v/>
      </c>
      <c r="CA46" s="612" t="str">
        <f t="shared" ref="CA46" si="76">IF(BU46="ｷｬﾝｾﾙ1","",IF(BU46="ｷｬﾝｾﾙ2","",IF(BU46="ｷｬﾝｾﾙ3","",IF(BU46="ｷｬﾝｾﾙ4","",IF(BU46="ｷｬﾝｾﾙ5","",IF(BU46="ｷｬﾝｾﾙ6","",IF(BU46="ｷｬﾝｾﾙ7","",IF(BU46="ｷｬﾝｾﾙ8","",IF(BU46="blank","",BU46)))))))))</f>
        <v/>
      </c>
      <c r="CB46" s="96"/>
      <c r="CD46" s="378" t="str">
        <f>IF(BX46="","",VLOOKUP(BX46,シート⑤成績表!$C$11:$AE$75,22,FALSE))</f>
        <v/>
      </c>
      <c r="CE46" s="379" t="str">
        <f>IF(BY46="","",VLOOKUP(BY46,シート⑤成績表!$C$11:$AE$75,22,FALSE))</f>
        <v/>
      </c>
      <c r="CF46" s="379" t="str">
        <f>IF(BZ46="","",VLOOKUP(BZ46,シート⑤成績表!$C$11:$AE$75,22,FALSE))</f>
        <v/>
      </c>
      <c r="CG46" s="380" t="str">
        <f>IF(CA46="","",VLOOKUP(CA46,シート⑤成績表!$C$11:$AE$75,22,FALSE))</f>
        <v/>
      </c>
      <c r="CJ46" s="611" t="str">
        <f t="shared" ref="CJ46:CM46" si="77">BX46</f>
        <v/>
      </c>
      <c r="CK46" s="234" t="str">
        <f t="shared" si="77"/>
        <v/>
      </c>
      <c r="CL46" s="234" t="str">
        <f t="shared" si="77"/>
        <v/>
      </c>
      <c r="CM46" s="612" t="str">
        <f t="shared" si="77"/>
        <v/>
      </c>
      <c r="CN46" s="615"/>
      <c r="CO46" s="23">
        <f t="shared" si="9"/>
        <v>35</v>
      </c>
      <c r="CP46" s="246" t="e">
        <f>IF($CP$6=1,CL28,IF($CP$6=2,CL54,""))</f>
        <v>#VALUE!</v>
      </c>
      <c r="CQ46" s="246" t="e">
        <f>IF($CP$6=1,CL29,IF($CP$6=2,CL55,""))</f>
        <v>#VALUE!</v>
      </c>
      <c r="CR46" s="111"/>
      <c r="CS46" s="246" t="str">
        <f>集計!B40</f>
        <v>坪原</v>
      </c>
      <c r="CT46" s="584" t="str">
        <f t="shared" si="2"/>
        <v/>
      </c>
      <c r="CU46" s="545" t="e">
        <f t="shared" si="3"/>
        <v>#VALUE!</v>
      </c>
      <c r="CV46" s="585" t="str">
        <f t="shared" si="4"/>
        <v/>
      </c>
      <c r="CX46" s="545" t="e">
        <f>IF(INDEX(シート⑤成績表!$E$11:$W$75,ROW(CX46)-11,シート①入力画面!$CT$9)="","",INDEX(シート⑤成績表!$E$11:$W$75,ROW(CX46)-11,シート①入力画面!$CT$9))</f>
        <v>#VALUE!</v>
      </c>
      <c r="DC46" s="261"/>
    </row>
    <row r="47" spans="2:116" ht="21.75" customHeight="1" thickBot="1" x14ac:dyDescent="0.2">
      <c r="F47" s="177">
        <f t="shared" si="36"/>
        <v>96</v>
      </c>
      <c r="K47" s="455" t="str">
        <f>集計!B69</f>
        <v/>
      </c>
      <c r="L47" s="456"/>
      <c r="N47" s="96"/>
      <c r="O47" s="15"/>
      <c r="P47" s="313"/>
      <c r="Q47" s="434"/>
      <c r="R47" s="453" t="str">
        <f>IF($BE$45=1,"",IF(AZ32=1,"",VLOOKUP(VLOOKUP(AZ32,$BR$70:$BS$135,2,FALSE),シート⑤成績表!$C$11:$AF$75,30,FALSE)))</f>
        <v/>
      </c>
      <c r="S47" s="347">
        <f>IF(BR32=" --",ROW(BR32)+COLUMN(BR32)/100,BR32)</f>
        <v>32.700000000000003</v>
      </c>
      <c r="T47" s="453" t="str">
        <f>IF($BE$45=1,"",IF(BA32=1,"",VLOOKUP(VLOOKUP(BA32,$BR$70:$BS$135,2,FALSE),シート⑤成績表!$C$11:$AF$75,30,FALSE)))</f>
        <v/>
      </c>
      <c r="U47" s="347">
        <f>IF(BS32=" --",ROW(BS32)+COLUMN(BS32)/100,BS32)</f>
        <v>32.71</v>
      </c>
      <c r="V47" s="453" t="str">
        <f>IF($BE$45=1,"",IF(BB32=1,"",VLOOKUP(VLOOKUP(BB32,$BR$70:$BS$135,2,FALSE),シート⑤成績表!$C$11:$AF$75,30,FALSE)))</f>
        <v/>
      </c>
      <c r="W47" s="347">
        <f>IF(BT32=" --",ROW(BT32)+COLUMN(BT32)/100,BT32)</f>
        <v>32.72</v>
      </c>
      <c r="X47" s="453" t="str">
        <f>IF($BE$45=1,"",IF(BC32=1,"",VLOOKUP(VLOOKUP(BC32,$BR$70:$BS$135,2,FALSE),シート⑤成績表!$C$11:$AF$75,30,FALSE)))</f>
        <v/>
      </c>
      <c r="Y47" s="347">
        <f>IF(BU32=" --",ROW(BU32)+COLUMN(BU32)/100,BU32)</f>
        <v>32.729999999999997</v>
      </c>
      <c r="Z47" s="113"/>
      <c r="AA47" s="670" t="s">
        <v>616</v>
      </c>
      <c r="AB47" s="665" t="str">
        <f t="shared" si="73"/>
        <v/>
      </c>
      <c r="AE47" s="23"/>
      <c r="AF47" s="23"/>
      <c r="AG47" s="23"/>
      <c r="AI47" s="96"/>
      <c r="AL47" s="96"/>
      <c r="AM47" s="96"/>
      <c r="AP47" s="96"/>
      <c r="AR47" s="261"/>
      <c r="AS47" s="482"/>
      <c r="AT47" s="319" t="s">
        <v>366</v>
      </c>
      <c r="BC47" s="771"/>
      <c r="BD47" s="771"/>
      <c r="BE47" s="771"/>
      <c r="BG47" s="173"/>
      <c r="BH47" s="196"/>
      <c r="BI47" s="196"/>
      <c r="BJ47" s="197"/>
      <c r="BK47" s="23"/>
      <c r="BL47" s="173"/>
      <c r="BM47" s="196"/>
      <c r="BN47" s="196"/>
      <c r="BO47" s="197"/>
      <c r="BR47" s="479"/>
      <c r="BS47" s="480"/>
      <c r="BT47" s="480"/>
      <c r="BU47" s="481"/>
      <c r="BX47" s="611"/>
      <c r="BY47" s="234"/>
      <c r="BZ47" s="234"/>
      <c r="CA47" s="612"/>
      <c r="CB47" s="96"/>
      <c r="CD47" s="381" t="str">
        <f>IF(BX46="","",VLOOKUP(BX46,シート⑤成績表!$C$11:$AE$75,29,FALSE))</f>
        <v/>
      </c>
      <c r="CE47" s="382" t="str">
        <f>IF(BY46="","",VLOOKUP(BY46,シート⑤成績表!$C$11:$AE$75,29,FALSE))</f>
        <v/>
      </c>
      <c r="CF47" s="382" t="str">
        <f>IF(BZ46="","",VLOOKUP(BZ46,シート⑤成績表!$C$11:$AE$75,29,FALSE))</f>
        <v/>
      </c>
      <c r="CG47" s="383" t="str">
        <f>IF(CA46="","",VLOOKUP(CA46,シート⑤成績表!$C$11:$AE$75,29,FALSE))</f>
        <v/>
      </c>
      <c r="CJ47" s="173" t="str">
        <f>IF(シート④スコア記入依頼用紙!F29="","",IF(シート④スコア記入依頼用紙!F29=0,"",シート④スコア記入依頼用紙!F29))</f>
        <v/>
      </c>
      <c r="CK47" s="196" t="str">
        <f>IF(シート④スコア記入依頼用紙!G29="","",IF(シート④スコア記入依頼用紙!G29=0,"",シート④スコア記入依頼用紙!G29))</f>
        <v/>
      </c>
      <c r="CL47" s="196" t="str">
        <f>IF(シート④スコア記入依頼用紙!H29="","",IF(シート④スコア記入依頼用紙!H29=0,"",シート④スコア記入依頼用紙!H29))</f>
        <v/>
      </c>
      <c r="CM47" s="197" t="str">
        <f>IF(シート④スコア記入依頼用紙!I29="","",IF(シート④スコア記入依頼用紙!I29=0,"",シート④スコア記入依頼用紙!I29))</f>
        <v/>
      </c>
      <c r="CN47" s="615">
        <f>SUM(CJ47:CM47)</f>
        <v>0</v>
      </c>
      <c r="CO47" s="23">
        <f t="shared" si="9"/>
        <v>36</v>
      </c>
      <c r="CP47" s="246" t="e">
        <f>IF($CP$6=1,CM28,IF($CP$6=2,CM54,""))</f>
        <v>#VALUE!</v>
      </c>
      <c r="CQ47" s="246" t="e">
        <f>IF($CP$6=1,CM29,IF($CP$6=2,CM55,""))</f>
        <v>#VALUE!</v>
      </c>
      <c r="CR47" s="110"/>
      <c r="CS47" s="246" t="str">
        <f>集計!B41</f>
        <v>豊島</v>
      </c>
      <c r="CT47" s="584" t="str">
        <f t="shared" si="2"/>
        <v/>
      </c>
      <c r="CU47" s="545" t="e">
        <f t="shared" si="3"/>
        <v>#VALUE!</v>
      </c>
      <c r="CV47" s="585" t="str">
        <f t="shared" si="4"/>
        <v/>
      </c>
      <c r="CX47" s="545" t="e">
        <f>IF(INDEX(シート⑤成績表!$E$11:$W$75,ROW(CX47)-11,シート①入力画面!$CT$9)="","",INDEX(シート⑤成績表!$E$11:$W$75,ROW(CX47)-11,シート①入力画面!$CT$9))</f>
        <v>#VALUE!</v>
      </c>
      <c r="DC47" s="261"/>
    </row>
    <row r="48" spans="2:116" ht="21.75" customHeight="1" thickBot="1" x14ac:dyDescent="0.2">
      <c r="F48" s="177">
        <f t="shared" si="36"/>
        <v>96</v>
      </c>
      <c r="K48" s="457" t="str">
        <f>集計!B70</f>
        <v/>
      </c>
      <c r="L48" s="458"/>
      <c r="N48" s="96"/>
      <c r="O48" s="15"/>
      <c r="P48" s="385"/>
      <c r="Q48" s="433"/>
      <c r="R48" s="377" t="str">
        <f>IF($BE$45=1,"",IF(AZ32=1,"",VLOOKUP(VLOOKUP(AZ32,$BR$70:$BS$135,2,FALSE),シート⑤成績表!$C$11:$AF$75,29,FALSE)))</f>
        <v/>
      </c>
      <c r="S48" s="661"/>
      <c r="T48" s="377" t="str">
        <f>IF($BE$45=1,"",IF(BA32=1,"",VLOOKUP(VLOOKUP(BA32,$BR$70:$BS$135,2,FALSE),シート⑤成績表!$C$11:$AF$75,29,FALSE)))</f>
        <v/>
      </c>
      <c r="U48" s="661"/>
      <c r="V48" s="377" t="str">
        <f>IF($BE$45=1,"",IF(BB32=1,"",VLOOKUP(VLOOKUP(BB32,$BR$70:$BS$135,2,FALSE),シート⑤成績表!$C$11:$AF$75,29,FALSE)))</f>
        <v/>
      </c>
      <c r="W48" s="661"/>
      <c r="X48" s="377" t="str">
        <f>IF($BE$45=1,"",IF(BO32=1,"",VLOOKUP(VLOOKUP(BO32,$BR$70:$BS$135,2,FALSE),シート⑤成績表!$C$11:$AF$75,29,FALSE)))</f>
        <v/>
      </c>
      <c r="Y48" s="662"/>
      <c r="AA48" s="671"/>
      <c r="AB48" s="666" t="str">
        <f t="shared" si="73"/>
        <v/>
      </c>
      <c r="AE48" s="23"/>
      <c r="AF48" s="23"/>
      <c r="AG48" s="23"/>
      <c r="AI48" s="96"/>
      <c r="AL48" s="96"/>
      <c r="AM48" s="96"/>
      <c r="AP48" s="96"/>
      <c r="AR48" s="261"/>
      <c r="AS48" s="108"/>
      <c r="AT48" s="15"/>
      <c r="AY48" s="539" t="s">
        <v>490</v>
      </c>
      <c r="AZ48" s="541">
        <f>$BX$118</f>
        <v>0</v>
      </c>
      <c r="BA48" s="535" t="s">
        <v>477</v>
      </c>
      <c r="BB48" s="241"/>
      <c r="BG48" s="173" t="str">
        <f>組合せﾃﾞｰﾀ!AD17</f>
        <v/>
      </c>
      <c r="BH48" s="196" t="str">
        <f>組合せﾃﾞｰﾀ!AE17</f>
        <v/>
      </c>
      <c r="BI48" s="196" t="str">
        <f>組合せﾃﾞｰﾀ!AF17</f>
        <v/>
      </c>
      <c r="BJ48" s="197" t="str">
        <f>組合せﾃﾞｰﾀ!AG17</f>
        <v/>
      </c>
      <c r="BK48" s="23"/>
      <c r="BL48" s="173" t="str">
        <f>組合せﾃﾞｰﾀ!AN17</f>
        <v/>
      </c>
      <c r="BM48" s="196" t="str">
        <f>組合せﾃﾞｰﾀ!AO17</f>
        <v/>
      </c>
      <c r="BN48" s="196" t="str">
        <f>組合せﾃﾞｰﾀ!AP17</f>
        <v/>
      </c>
      <c r="BO48" s="197" t="str">
        <f>組合せﾃﾞｰﾀ!AQ17</f>
        <v/>
      </c>
      <c r="BR48" s="479" t="str">
        <f>IF($BA$45=2,組合せﾃﾞｰﾀ!AN17,組合せﾃﾞｰﾀ!AD17)</f>
        <v/>
      </c>
      <c r="BS48" s="480" t="str">
        <f>IF($BA$45=2,組合せﾃﾞｰﾀ!AO17,組合せﾃﾞｰﾀ!AE17)</f>
        <v/>
      </c>
      <c r="BT48" s="480" t="str">
        <f>IF($BA$45=2,組合せﾃﾞｰﾀ!AP17,組合せﾃﾞｰﾀ!AF17)</f>
        <v/>
      </c>
      <c r="BU48" s="481" t="str">
        <f>IF($BA$45=2,組合せﾃﾞｰﾀ!AQ17,組合せﾃﾞｰﾀ!AG17)</f>
        <v/>
      </c>
      <c r="BX48" s="611" t="str">
        <f>IF(BR48="ｷｬﾝｾﾙ1","",IF(BR48="ｷｬﾝｾﾙ2","",IF(BR48="ｷｬﾝｾﾙ3","",IF(BR48="ｷｬﾝｾﾙ4","",IF(BR48="ｷｬﾝｾﾙ5","",IF(BR48="ｷｬﾝｾﾙ6","",IF(BR48="ｷｬﾝｾﾙ7","",IF(BR48="ｷｬﾝｾﾙ8","",IF(BR48="blank","",BR48)))))))))</f>
        <v/>
      </c>
      <c r="BY48" s="234" t="str">
        <f t="shared" ref="BY48" si="78">IF(BS48="ｷｬﾝｾﾙ1","",IF(BS48="ｷｬﾝｾﾙ2","",IF(BS48="ｷｬﾝｾﾙ3","",IF(BS48="ｷｬﾝｾﾙ4","",IF(BS48="ｷｬﾝｾﾙ5","",IF(BS48="ｷｬﾝｾﾙ6","",IF(BS48="ｷｬﾝｾﾙ7","",IF(BS48="ｷｬﾝｾﾙ8","",IF(BS48="blank","",BS48)))))))))</f>
        <v/>
      </c>
      <c r="BZ48" s="234" t="str">
        <f t="shared" ref="BZ48" si="79">IF(BT48="ｷｬﾝｾﾙ1","",IF(BT48="ｷｬﾝｾﾙ2","",IF(BT48="ｷｬﾝｾﾙ3","",IF(BT48="ｷｬﾝｾﾙ4","",IF(BT48="ｷｬﾝｾﾙ5","",IF(BT48="ｷｬﾝｾﾙ6","",IF(BT48="ｷｬﾝｾﾙ7","",IF(BT48="ｷｬﾝｾﾙ8","",IF(BT48="blank","",BT48)))))))))</f>
        <v/>
      </c>
      <c r="CA48" s="612" t="str">
        <f t="shared" ref="CA48" si="80">IF(BU48="ｷｬﾝｾﾙ1","",IF(BU48="ｷｬﾝｾﾙ2","",IF(BU48="ｷｬﾝｾﾙ3","",IF(BU48="ｷｬﾝｾﾙ4","",IF(BU48="ｷｬﾝｾﾙ5","",IF(BU48="ｷｬﾝｾﾙ6","",IF(BU48="ｷｬﾝｾﾙ7","",IF(BU48="ｷｬﾝｾﾙ8","",IF(BU48="blank","",BU48)))))))))</f>
        <v/>
      </c>
      <c r="CB48" s="96"/>
      <c r="CD48" s="378" t="str">
        <f>IF(BX48="","",VLOOKUP(BX48,シート⑤成績表!$C$11:$AE$75,22,FALSE))</f>
        <v/>
      </c>
      <c r="CE48" s="379" t="str">
        <f>IF(BY48="","",VLOOKUP(BY48,シート⑤成績表!$C$11:$AE$75,22,FALSE))</f>
        <v/>
      </c>
      <c r="CF48" s="379" t="str">
        <f>IF(BZ48="","",VLOOKUP(BZ48,シート⑤成績表!$C$11:$AE$75,22,FALSE))</f>
        <v/>
      </c>
      <c r="CG48" s="380" t="str">
        <f>IF(CA48="","",VLOOKUP(CA48,シート⑤成績表!$C$11:$AE$75,22,FALSE))</f>
        <v/>
      </c>
      <c r="CJ48" s="611" t="str">
        <f t="shared" ref="CJ48:CM48" si="81">BX48</f>
        <v/>
      </c>
      <c r="CK48" s="234" t="str">
        <f t="shared" si="81"/>
        <v/>
      </c>
      <c r="CL48" s="234" t="str">
        <f t="shared" si="81"/>
        <v/>
      </c>
      <c r="CM48" s="612" t="str">
        <f t="shared" si="81"/>
        <v/>
      </c>
      <c r="CN48" s="615"/>
      <c r="CO48" s="23">
        <f t="shared" si="9"/>
        <v>37</v>
      </c>
      <c r="CP48" s="246" t="e">
        <f>IF($CP$6=1,CJ30,IF($CP$6=2,CJ56,""))</f>
        <v>#VALUE!</v>
      </c>
      <c r="CQ48" s="246" t="e">
        <f>IF($CP$6=1,CJ31,IF($CP$6=2,CJ57,""))</f>
        <v>#VALUE!</v>
      </c>
      <c r="CR48" s="111"/>
      <c r="CS48" s="246" t="str">
        <f>集計!B42</f>
        <v>中川</v>
      </c>
      <c r="CT48" s="584" t="str">
        <f t="shared" si="2"/>
        <v/>
      </c>
      <c r="CU48" s="545" t="e">
        <f t="shared" si="3"/>
        <v>#VALUE!</v>
      </c>
      <c r="CV48" s="585" t="str">
        <f t="shared" si="4"/>
        <v/>
      </c>
      <c r="CX48" s="545" t="e">
        <f>IF(INDEX(シート⑤成績表!$E$11:$W$75,ROW(CX48)-11,シート①入力画面!$CT$9)="","",INDEX(シート⑤成績表!$E$11:$W$75,ROW(CX48)-11,シート①入力画面!$CT$9))</f>
        <v>#VALUE!</v>
      </c>
      <c r="DC48" s="261"/>
    </row>
    <row r="49" spans="1:107" ht="21.75" customHeight="1" thickBot="1" x14ac:dyDescent="0.2">
      <c r="A49" s="165"/>
      <c r="B49" s="165"/>
      <c r="C49" s="165"/>
      <c r="D49" s="165"/>
      <c r="E49" s="165"/>
      <c r="F49" s="165"/>
      <c r="H49" s="165"/>
      <c r="J49" s="165"/>
      <c r="N49" s="96"/>
      <c r="O49" s="15"/>
      <c r="P49" s="313"/>
      <c r="Q49" s="434"/>
      <c r="R49" s="453" t="str">
        <f>IF($BE$45=1,"",IF(AZ34=1,"",VLOOKUP(VLOOKUP(AZ34,$BR$70:$BS$135,2,FALSE),シート⑤成績表!$C$11:$AF$75,30,FALSE)))</f>
        <v/>
      </c>
      <c r="S49" s="347">
        <f>IF(BR34=" --",ROW(BR34)+COLUMN(BR34)/100,BR34)</f>
        <v>34.700000000000003</v>
      </c>
      <c r="T49" s="453" t="str">
        <f>IF($BE$45=1,"",IF(BA34=1,"",VLOOKUP(VLOOKUP(BA34,$BR$70:$BS$135,2,FALSE),シート⑤成績表!$C$11:$AF$75,30,FALSE)))</f>
        <v/>
      </c>
      <c r="U49" s="347">
        <f>IF(BS34=" --",ROW(BS34)+COLUMN(BS34)/100,BS34)</f>
        <v>34.71</v>
      </c>
      <c r="V49" s="453" t="str">
        <f>IF($BE$45=1,"",IF(BB34=1,"",VLOOKUP(VLOOKUP(BB34,$BR$70:$BS$135,2,FALSE),シート⑤成績表!$C$11:$AF$75,30,FALSE)))</f>
        <v/>
      </c>
      <c r="W49" s="347">
        <f>IF(BT34=" --",ROW(BT34)+COLUMN(BT34)/100,BT34)</f>
        <v>34.72</v>
      </c>
      <c r="X49" s="453" t="str">
        <f>IF($BE$45=1,"",IF(BC34=1,"",VLOOKUP(VLOOKUP(BC34,$BR$70:$BS$135,2,FALSE),シート⑤成績表!$C$11:$AF$75,30,FALSE)))</f>
        <v/>
      </c>
      <c r="Y49" s="347">
        <f>IF(BU34=" --",ROW(BU34)+COLUMN(BU34)/100,BU34)</f>
        <v>34.729999999999997</v>
      </c>
      <c r="AA49" s="672"/>
      <c r="AB49" s="667" t="str">
        <f t="shared" si="73"/>
        <v/>
      </c>
      <c r="AE49" s="23"/>
      <c r="AF49" s="23"/>
      <c r="AG49" s="23"/>
      <c r="AI49" s="96"/>
      <c r="AL49" s="96"/>
      <c r="AM49" s="96"/>
      <c r="AP49" s="96"/>
      <c r="AR49" s="261"/>
      <c r="AS49" s="485" t="s">
        <v>252</v>
      </c>
      <c r="AT49" s="324" t="s">
        <v>542</v>
      </c>
      <c r="BA49" s="540" t="s">
        <v>478</v>
      </c>
      <c r="BB49" s="241"/>
      <c r="BG49" s="173"/>
      <c r="BH49" s="196"/>
      <c r="BI49" s="196"/>
      <c r="BJ49" s="197"/>
      <c r="BK49" s="23"/>
      <c r="BL49" s="173"/>
      <c r="BM49" s="196"/>
      <c r="BN49" s="196"/>
      <c r="BO49" s="197"/>
      <c r="BR49" s="479"/>
      <c r="BS49" s="480"/>
      <c r="BT49" s="480"/>
      <c r="BU49" s="481"/>
      <c r="BX49" s="611"/>
      <c r="BY49" s="234"/>
      <c r="BZ49" s="234"/>
      <c r="CA49" s="612"/>
      <c r="CB49" s="202"/>
      <c r="CD49" s="381" t="str">
        <f>IF(BX48="","",VLOOKUP(BX48,シート⑤成績表!$C$11:$AE$75,29,FALSE))</f>
        <v/>
      </c>
      <c r="CE49" s="382" t="str">
        <f>IF(BY48="","",VLOOKUP(BY48,シート⑤成績表!$C$11:$AE$75,29,FALSE))</f>
        <v/>
      </c>
      <c r="CF49" s="382" t="str">
        <f>IF(BZ48="","",VLOOKUP(BZ48,シート⑤成績表!$C$11:$AE$75,29,FALSE))</f>
        <v/>
      </c>
      <c r="CG49" s="383" t="str">
        <f>IF(CA48="","",VLOOKUP(CA48,シート⑤成績表!$C$11:$AE$75,29,FALSE))</f>
        <v/>
      </c>
      <c r="CJ49" s="173" t="str">
        <f>IF(シート④スコア記入依頼用紙!F32="","",IF(シート④スコア記入依頼用紙!F32=0,"",シート④スコア記入依頼用紙!F32))</f>
        <v/>
      </c>
      <c r="CK49" s="196" t="str">
        <f>IF(シート④スコア記入依頼用紙!G32="","",IF(シート④スコア記入依頼用紙!G32=0,"",シート④スコア記入依頼用紙!G32))</f>
        <v/>
      </c>
      <c r="CL49" s="196" t="str">
        <f>IF(シート④スコア記入依頼用紙!H32="","",IF(シート④スコア記入依頼用紙!H32=0,"",シート④スコア記入依頼用紙!H32))</f>
        <v/>
      </c>
      <c r="CM49" s="197" t="str">
        <f>IF(シート④スコア記入依頼用紙!I32="","",IF(シート④スコア記入依頼用紙!I32=0,"",シート④スコア記入依頼用紙!I32))</f>
        <v/>
      </c>
      <c r="CN49" s="615">
        <f>SUM(CJ49:CM49)</f>
        <v>0</v>
      </c>
      <c r="CO49" s="23">
        <f t="shared" si="9"/>
        <v>38</v>
      </c>
      <c r="CP49" s="246" t="e">
        <f>IF($CP$6=1,CK30,IF($CP$6=2,CK56,""))</f>
        <v>#VALUE!</v>
      </c>
      <c r="CQ49" s="246" t="e">
        <f>IF($CP$6=1,CK31,IF($CP$6=2,CK57,""))</f>
        <v>#VALUE!</v>
      </c>
      <c r="CR49" s="110"/>
      <c r="CS49" s="246" t="str">
        <f>集計!B43</f>
        <v>中山</v>
      </c>
      <c r="CT49" s="584" t="str">
        <f t="shared" si="2"/>
        <v/>
      </c>
      <c r="CU49" s="545" t="e">
        <f t="shared" si="3"/>
        <v>#VALUE!</v>
      </c>
      <c r="CV49" s="585" t="str">
        <f t="shared" si="4"/>
        <v/>
      </c>
      <c r="CX49" s="545" t="e">
        <f>IF(INDEX(シート⑤成績表!$E$11:$W$75,ROW(CX49)-11,シート①入力画面!$CT$9)="","",INDEX(シート⑤成績表!$E$11:$W$75,ROW(CX49)-11,シート①入力画面!$CT$9))</f>
        <v>#VALUE!</v>
      </c>
      <c r="DC49" s="261"/>
    </row>
    <row r="50" spans="1:107" ht="21.75" customHeight="1" thickBot="1" x14ac:dyDescent="0.2">
      <c r="A50" s="165"/>
      <c r="B50" s="165"/>
      <c r="C50" s="165"/>
      <c r="D50" s="165"/>
      <c r="E50" s="165"/>
      <c r="F50" s="165"/>
      <c r="G50" s="165"/>
      <c r="H50" s="165"/>
      <c r="I50" s="165"/>
      <c r="J50" s="165"/>
      <c r="K50" s="355" t="s">
        <v>311</v>
      </c>
      <c r="L50" s="340">
        <f>COUNTIF(H26:L46,"○")+COUNTIF(L47:L48,"○")</f>
        <v>0</v>
      </c>
      <c r="N50" s="96"/>
      <c r="O50" s="15"/>
      <c r="P50" s="385"/>
      <c r="Q50" s="433"/>
      <c r="R50" s="377" t="str">
        <f>IF($BE$45=1,"",IF(AZ34=1,"",VLOOKUP(VLOOKUP(AZ34,$BR$70:$BS$135,2,FALSE),シート⑤成績表!$C$11:$AF$75,29,FALSE)))</f>
        <v/>
      </c>
      <c r="S50" s="661"/>
      <c r="T50" s="377" t="str">
        <f>IF($BE$45=1,"",IF(BA34=1,"",VLOOKUP(VLOOKUP(BA34,$BR$70:$BS$135,2,FALSE),シート⑤成績表!$C$11:$AF$75,29,FALSE)))</f>
        <v/>
      </c>
      <c r="U50" s="661"/>
      <c r="V50" s="377" t="str">
        <f>IF($BE$45=1,"",IF(BB34=1,"",VLOOKUP(VLOOKUP(BB34,$BR$70:$BS$135,2,FALSE),シート⑤成績表!$C$11:$AF$75,29,FALSE)))</f>
        <v/>
      </c>
      <c r="W50" s="661"/>
      <c r="X50" s="377" t="str">
        <f>IF($BE$45=1,"",IF(BO34=1,"",VLOOKUP(VLOOKUP(BO34,$BR$70:$BS$135,2,FALSE),シート⑤成績表!$C$11:$AF$75,29,FALSE)))</f>
        <v/>
      </c>
      <c r="Y50" s="662"/>
      <c r="AE50" s="23"/>
      <c r="AF50" s="23"/>
      <c r="AG50" s="23"/>
      <c r="AH50" s="96"/>
      <c r="AK50" s="96"/>
      <c r="AL50" s="96"/>
      <c r="AP50" s="96"/>
      <c r="AR50" s="261"/>
      <c r="AS50" s="486"/>
      <c r="AT50" s="323" t="s">
        <v>532</v>
      </c>
      <c r="AU50" s="108"/>
      <c r="AY50" s="23" t="s">
        <v>106</v>
      </c>
      <c r="BG50" s="173" t="str">
        <f>組合せﾃﾞｰﾀ!AD19</f>
        <v/>
      </c>
      <c r="BH50" s="196" t="str">
        <f>組合せﾃﾞｰﾀ!AE19</f>
        <v/>
      </c>
      <c r="BI50" s="196" t="str">
        <f>組合せﾃﾞｰﾀ!AF19</f>
        <v/>
      </c>
      <c r="BJ50" s="197" t="str">
        <f>組合せﾃﾞｰﾀ!AG19</f>
        <v/>
      </c>
      <c r="BK50" s="23"/>
      <c r="BL50" s="173" t="str">
        <f>組合せﾃﾞｰﾀ!AN19</f>
        <v/>
      </c>
      <c r="BM50" s="196" t="str">
        <f>組合せﾃﾞｰﾀ!AO19</f>
        <v/>
      </c>
      <c r="BN50" s="196" t="str">
        <f>組合せﾃﾞｰﾀ!AP19</f>
        <v/>
      </c>
      <c r="BO50" s="197" t="str">
        <f>組合せﾃﾞｰﾀ!AQ19</f>
        <v/>
      </c>
      <c r="BR50" s="479" t="str">
        <f>IF($BA$45=2,組合せﾃﾞｰﾀ!AN19,組合せﾃﾞｰﾀ!AD19)</f>
        <v/>
      </c>
      <c r="BS50" s="480" t="str">
        <f>IF($BA$45=2,組合せﾃﾞｰﾀ!AO19,組合せﾃﾞｰﾀ!AE19)</f>
        <v/>
      </c>
      <c r="BT50" s="480" t="str">
        <f>IF($BA$45=2,組合せﾃﾞｰﾀ!AP19,組合せﾃﾞｰﾀ!AF19)</f>
        <v/>
      </c>
      <c r="BU50" s="481" t="str">
        <f>IF($BA$45=2,組合せﾃﾞｰﾀ!AQ19,組合せﾃﾞｰﾀ!AG19)</f>
        <v/>
      </c>
      <c r="BX50" s="611" t="str">
        <f>IF(BR50="ｷｬﾝｾﾙ1","",IF(BR50="ｷｬﾝｾﾙ2","",IF(BR50="ｷｬﾝｾﾙ3","",IF(BR50="ｷｬﾝｾﾙ4","",IF(BR50="ｷｬﾝｾﾙ5","",IF(BR50="ｷｬﾝｾﾙ6","",IF(BR50="ｷｬﾝｾﾙ7","",IF(BR50="ｷｬﾝｾﾙ8","",IF(BR50="blank","",BR50)))))))))</f>
        <v/>
      </c>
      <c r="BY50" s="234" t="str">
        <f t="shared" ref="BY50" si="82">IF(BS50="ｷｬﾝｾﾙ1","",IF(BS50="ｷｬﾝｾﾙ2","",IF(BS50="ｷｬﾝｾﾙ3","",IF(BS50="ｷｬﾝｾﾙ4","",IF(BS50="ｷｬﾝｾﾙ5","",IF(BS50="ｷｬﾝｾﾙ6","",IF(BS50="ｷｬﾝｾﾙ7","",IF(BS50="ｷｬﾝｾﾙ8","",IF(BS50="blank","",BS50)))))))))</f>
        <v/>
      </c>
      <c r="BZ50" s="234" t="str">
        <f t="shared" ref="BZ50" si="83">IF(BT50="ｷｬﾝｾﾙ1","",IF(BT50="ｷｬﾝｾﾙ2","",IF(BT50="ｷｬﾝｾﾙ3","",IF(BT50="ｷｬﾝｾﾙ4","",IF(BT50="ｷｬﾝｾﾙ5","",IF(BT50="ｷｬﾝｾﾙ6","",IF(BT50="ｷｬﾝｾﾙ7","",IF(BT50="ｷｬﾝｾﾙ8","",IF(BT50="blank","",BT50)))))))))</f>
        <v/>
      </c>
      <c r="CA50" s="612" t="str">
        <f t="shared" ref="CA50" si="84">IF(BU50="ｷｬﾝｾﾙ1","",IF(BU50="ｷｬﾝｾﾙ2","",IF(BU50="ｷｬﾝｾﾙ3","",IF(BU50="ｷｬﾝｾﾙ4","",IF(BU50="ｷｬﾝｾﾙ5","",IF(BU50="ｷｬﾝｾﾙ6","",IF(BU50="ｷｬﾝｾﾙ7","",IF(BU50="ｷｬﾝｾﾙ8","",IF(BU50="blank","",BU50)))))))))</f>
        <v/>
      </c>
      <c r="CB50" s="202"/>
      <c r="CD50" s="378" t="str">
        <f>IF(BX50="","",VLOOKUP(BX50,シート⑤成績表!$C$11:$AE$75,22,FALSE))</f>
        <v/>
      </c>
      <c r="CE50" s="379" t="str">
        <f>IF(BY50="","",VLOOKUP(BY50,シート⑤成績表!$C$11:$AE$75,22,FALSE))</f>
        <v/>
      </c>
      <c r="CF50" s="379" t="str">
        <f>IF(BZ50="","",VLOOKUP(BZ50,シート⑤成績表!$C$11:$AE$75,22,FALSE))</f>
        <v/>
      </c>
      <c r="CG50" s="380" t="str">
        <f>IF(CA50="","",VLOOKUP(CA50,シート⑤成績表!$C$11:$AE$75,22,FALSE))</f>
        <v/>
      </c>
      <c r="CJ50" s="611" t="str">
        <f t="shared" ref="CJ50:CM50" si="85">BX50</f>
        <v/>
      </c>
      <c r="CK50" s="234" t="str">
        <f t="shared" si="85"/>
        <v/>
      </c>
      <c r="CL50" s="234" t="str">
        <f t="shared" si="85"/>
        <v/>
      </c>
      <c r="CM50" s="612" t="str">
        <f t="shared" si="85"/>
        <v/>
      </c>
      <c r="CN50" s="615"/>
      <c r="CO50" s="23">
        <f t="shared" si="9"/>
        <v>39</v>
      </c>
      <c r="CP50" s="246" t="e">
        <f>IF($CP$6=1,CL30,IF($CP$6=2,CL56,""))</f>
        <v>#VALUE!</v>
      </c>
      <c r="CQ50" s="246" t="e">
        <f>IF($CP$6=1,CL31,IF($CP$6=2,CL57,""))</f>
        <v>#VALUE!</v>
      </c>
      <c r="CR50" s="111"/>
      <c r="CS50" s="246" t="str">
        <f>集計!B44</f>
        <v>林</v>
      </c>
      <c r="CT50" s="584" t="str">
        <f t="shared" si="2"/>
        <v/>
      </c>
      <c r="CU50" s="545" t="e">
        <f t="shared" si="3"/>
        <v>#VALUE!</v>
      </c>
      <c r="CV50" s="585" t="str">
        <f t="shared" si="4"/>
        <v/>
      </c>
      <c r="CX50" s="545" t="e">
        <f>IF(INDEX(シート⑤成績表!$E$11:$W$75,ROW(CX50)-11,シート①入力画面!$CT$9)="","",INDEX(シート⑤成績表!$E$11:$W$75,ROW(CX50)-11,シート①入力画面!$CT$9))</f>
        <v>#VALUE!</v>
      </c>
      <c r="DC50" s="261"/>
    </row>
    <row r="51" spans="1:107" ht="16.5" customHeight="1" thickBot="1" x14ac:dyDescent="0.2">
      <c r="A51" s="165"/>
      <c r="B51" s="165"/>
      <c r="C51" s="165"/>
      <c r="D51" s="165"/>
      <c r="E51" s="165"/>
      <c r="F51" s="165"/>
      <c r="G51" s="165"/>
      <c r="H51" s="165"/>
      <c r="I51" s="165"/>
      <c r="J51" s="165"/>
      <c r="K51" s="353" t="s">
        <v>312</v>
      </c>
      <c r="L51" s="354">
        <f>COUNTIF(H26:L46,"×")</f>
        <v>0</v>
      </c>
      <c r="N51" s="96"/>
      <c r="O51" s="15"/>
      <c r="AE51" s="23"/>
      <c r="AF51" s="23"/>
      <c r="AG51" s="23"/>
      <c r="AH51" s="96"/>
      <c r="AK51" s="96"/>
      <c r="AL51" s="96"/>
      <c r="AP51" s="96"/>
      <c r="AR51" s="261"/>
      <c r="AS51" s="486"/>
      <c r="AT51" s="324" t="s">
        <v>498</v>
      </c>
      <c r="AU51" s="108"/>
      <c r="AY51" s="223"/>
      <c r="AZ51" s="223"/>
      <c r="BA51" s="223"/>
      <c r="BB51" s="223"/>
      <c r="BC51" s="223"/>
      <c r="BG51" s="173"/>
      <c r="BH51" s="196"/>
      <c r="BI51" s="196"/>
      <c r="BJ51" s="197"/>
      <c r="BK51" s="23"/>
      <c r="BL51" s="173"/>
      <c r="BM51" s="196"/>
      <c r="BN51" s="196"/>
      <c r="BO51" s="197"/>
      <c r="BR51" s="479"/>
      <c r="BS51" s="480"/>
      <c r="BT51" s="480"/>
      <c r="BU51" s="481"/>
      <c r="BX51" s="611"/>
      <c r="BY51" s="234"/>
      <c r="BZ51" s="234"/>
      <c r="CA51" s="612"/>
      <c r="CD51" s="381" t="str">
        <f>IF(BX50="","",VLOOKUP(BX50,シート⑤成績表!$C$11:$AE$75,29,FALSE))</f>
        <v/>
      </c>
      <c r="CE51" s="382" t="str">
        <f>IF(BY50="","",VLOOKUP(BY50,シート⑤成績表!$C$11:$AE$75,29,FALSE))</f>
        <v/>
      </c>
      <c r="CF51" s="382" t="str">
        <f>IF(BZ50="","",VLOOKUP(BZ50,シート⑤成績表!$C$11:$AE$75,29,FALSE))</f>
        <v/>
      </c>
      <c r="CG51" s="383" t="str">
        <f>IF(CA50="","",VLOOKUP(CA50,シート⑤成績表!$C$11:$AE$75,29,FALSE))</f>
        <v/>
      </c>
      <c r="CJ51" s="173" t="str">
        <f>IF(シート④スコア記入依頼用紙!F35="","",IF(シート④スコア記入依頼用紙!F35=0,"",シート④スコア記入依頼用紙!F35))</f>
        <v/>
      </c>
      <c r="CK51" s="196" t="str">
        <f>IF(シート④スコア記入依頼用紙!G35="","",IF(シート④スコア記入依頼用紙!G35=0,"",シート④スコア記入依頼用紙!G35))</f>
        <v/>
      </c>
      <c r="CL51" s="196" t="str">
        <f>IF(シート④スコア記入依頼用紙!H35="","",IF(シート④スコア記入依頼用紙!H35=0,"",シート④スコア記入依頼用紙!H35))</f>
        <v/>
      </c>
      <c r="CM51" s="197" t="str">
        <f>IF(シート④スコア記入依頼用紙!I35="","",IF(シート④スコア記入依頼用紙!I35=0,"",シート④スコア記入依頼用紙!I35))</f>
        <v/>
      </c>
      <c r="CN51" s="615">
        <f>SUM(CJ51:CM51)</f>
        <v>0</v>
      </c>
      <c r="CO51" s="23">
        <f t="shared" si="9"/>
        <v>40</v>
      </c>
      <c r="CP51" s="246" t="e">
        <f>IF($CP$6=1,CM30,IF($CP$6=2,CM56,""))</f>
        <v>#VALUE!</v>
      </c>
      <c r="CQ51" s="246" t="e">
        <f>IF($CP$6=1,CM31,IF($CP$6=2,CM57,""))</f>
        <v>#VALUE!</v>
      </c>
      <c r="CR51" s="110"/>
      <c r="CS51" s="246" t="str">
        <f>集計!B45</f>
        <v>福山</v>
      </c>
      <c r="CT51" s="584" t="str">
        <f t="shared" si="2"/>
        <v/>
      </c>
      <c r="CU51" s="545" t="e">
        <f t="shared" si="3"/>
        <v>#VALUE!</v>
      </c>
      <c r="CV51" s="585" t="str">
        <f t="shared" si="4"/>
        <v/>
      </c>
      <c r="CX51" s="545" t="e">
        <f>IF(INDEX(シート⑤成績表!$E$11:$W$75,ROW(CX51)-11,シート①入力画面!$CT$9)="","",INDEX(シート⑤成績表!$E$11:$W$75,ROW(CX51)-11,シート①入力画面!$CT$9))</f>
        <v>#VALUE!</v>
      </c>
      <c r="DC51" s="261"/>
    </row>
    <row r="52" spans="1:107" ht="16.5" customHeight="1" x14ac:dyDescent="0.15">
      <c r="A52" s="165"/>
      <c r="B52" s="165"/>
      <c r="C52" s="165"/>
      <c r="D52" s="165"/>
      <c r="E52" s="165"/>
      <c r="F52" s="165"/>
      <c r="G52" s="165"/>
      <c r="H52" s="165"/>
      <c r="I52" s="165"/>
      <c r="J52" s="165"/>
      <c r="K52" s="165"/>
      <c r="L52" s="165"/>
      <c r="N52" s="96"/>
      <c r="O52" s="15"/>
      <c r="P52" s="23" t="s">
        <v>621</v>
      </c>
      <c r="Y52" s="335" t="s">
        <v>319</v>
      </c>
      <c r="AA52" s="112"/>
      <c r="AB52"/>
      <c r="AE52" s="23"/>
      <c r="AF52" s="23"/>
      <c r="AG52" s="23"/>
      <c r="AH52"/>
      <c r="AI52"/>
      <c r="AK52" s="96"/>
      <c r="AL52" s="96"/>
      <c r="AP52" s="96"/>
      <c r="AR52" s="261"/>
      <c r="AS52" s="486"/>
      <c r="AT52" s="324" t="s">
        <v>499</v>
      </c>
      <c r="AU52" s="108"/>
      <c r="AY52" s="223" t="s">
        <v>113</v>
      </c>
      <c r="AZ52" s="223"/>
      <c r="BA52" s="223" t="s">
        <v>113</v>
      </c>
      <c r="BB52" s="223"/>
      <c r="BC52" s="223" t="s">
        <v>113</v>
      </c>
      <c r="BG52" s="173" t="str">
        <f>組合せﾃﾞｰﾀ!AD21</f>
        <v/>
      </c>
      <c r="BH52" s="196" t="str">
        <f>組合せﾃﾞｰﾀ!AE21</f>
        <v/>
      </c>
      <c r="BI52" s="196" t="str">
        <f>組合せﾃﾞｰﾀ!AF21</f>
        <v/>
      </c>
      <c r="BJ52" s="197" t="str">
        <f>組合せﾃﾞｰﾀ!AG21</f>
        <v/>
      </c>
      <c r="BK52" s="23"/>
      <c r="BL52" s="173" t="str">
        <f>組合せﾃﾞｰﾀ!AN21</f>
        <v/>
      </c>
      <c r="BM52" s="196" t="str">
        <f>組合せﾃﾞｰﾀ!AO21</f>
        <v/>
      </c>
      <c r="BN52" s="196" t="str">
        <f>組合せﾃﾞｰﾀ!AP21</f>
        <v/>
      </c>
      <c r="BO52" s="197" t="str">
        <f>組合せﾃﾞｰﾀ!AQ21</f>
        <v/>
      </c>
      <c r="BR52" s="479" t="str">
        <f>IF($BA$45=2,組合せﾃﾞｰﾀ!AN21,組合せﾃﾞｰﾀ!AD21)</f>
        <v/>
      </c>
      <c r="BS52" s="480" t="str">
        <f>IF($BA$45=2,組合せﾃﾞｰﾀ!AO21,組合せﾃﾞｰﾀ!AE21)</f>
        <v/>
      </c>
      <c r="BT52" s="480" t="str">
        <f>IF($BA$45=2,組合せﾃﾞｰﾀ!AP21,組合せﾃﾞｰﾀ!AF21)</f>
        <v/>
      </c>
      <c r="BU52" s="481" t="str">
        <f>IF($BA$45=2,組合せﾃﾞｰﾀ!AQ21,組合せﾃﾞｰﾀ!AG21)</f>
        <v/>
      </c>
      <c r="BX52" s="611" t="str">
        <f>IF(BR52="ｷｬﾝｾﾙ1","",IF(BR52="ｷｬﾝｾﾙ2","",IF(BR52="ｷｬﾝｾﾙ3","",IF(BR52="ｷｬﾝｾﾙ4","",IF(BR52="ｷｬﾝｾﾙ5","",IF(BR52="ｷｬﾝｾﾙ6","",IF(BR52="ｷｬﾝｾﾙ7","",IF(BR52="ｷｬﾝｾﾙ8","",IF(BR52="blank","",BR52)))))))))</f>
        <v/>
      </c>
      <c r="BY52" s="234" t="str">
        <f t="shared" ref="BY52" si="86">IF(BS52="ｷｬﾝｾﾙ1","",IF(BS52="ｷｬﾝｾﾙ2","",IF(BS52="ｷｬﾝｾﾙ3","",IF(BS52="ｷｬﾝｾﾙ4","",IF(BS52="ｷｬﾝｾﾙ5","",IF(BS52="ｷｬﾝｾﾙ6","",IF(BS52="ｷｬﾝｾﾙ7","",IF(BS52="ｷｬﾝｾﾙ8","",IF(BS52="blank","",BS52)))))))))</f>
        <v/>
      </c>
      <c r="BZ52" s="234" t="str">
        <f t="shared" ref="BZ52" si="87">IF(BT52="ｷｬﾝｾﾙ1","",IF(BT52="ｷｬﾝｾﾙ2","",IF(BT52="ｷｬﾝｾﾙ3","",IF(BT52="ｷｬﾝｾﾙ4","",IF(BT52="ｷｬﾝｾﾙ5","",IF(BT52="ｷｬﾝｾﾙ6","",IF(BT52="ｷｬﾝｾﾙ7","",IF(BT52="ｷｬﾝｾﾙ8","",IF(BT52="blank","",BT52)))))))))</f>
        <v/>
      </c>
      <c r="CA52" s="612" t="str">
        <f t="shared" ref="CA52" si="88">IF(BU52="ｷｬﾝｾﾙ1","",IF(BU52="ｷｬﾝｾﾙ2","",IF(BU52="ｷｬﾝｾﾙ3","",IF(BU52="ｷｬﾝｾﾙ4","",IF(BU52="ｷｬﾝｾﾙ5","",IF(BU52="ｷｬﾝｾﾙ6","",IF(BU52="ｷｬﾝｾﾙ7","",IF(BU52="ｷｬﾝｾﾙ8","",IF(BU52="blank","",BU52)))))))))</f>
        <v/>
      </c>
      <c r="CD52" s="378" t="str">
        <f>IF(BX52="","",VLOOKUP(BX52,シート⑤成績表!$C$11:$AE$75,22,FALSE))</f>
        <v/>
      </c>
      <c r="CE52" s="379" t="str">
        <f>IF(BY52="","",VLOOKUP(BY52,シート⑤成績表!$C$11:$AE$75,22,FALSE))</f>
        <v/>
      </c>
      <c r="CF52" s="379" t="str">
        <f>IF(BZ52="","",VLOOKUP(BZ52,シート⑤成績表!$C$11:$AE$75,22,FALSE))</f>
        <v/>
      </c>
      <c r="CG52" s="380" t="str">
        <f>IF(CA52="","",VLOOKUP(CA52,シート⑤成績表!$C$11:$AE$75,22,FALSE))</f>
        <v/>
      </c>
      <c r="CJ52" s="611" t="str">
        <f t="shared" ref="CJ52:CM52" si="89">BX52</f>
        <v/>
      </c>
      <c r="CK52" s="234" t="str">
        <f t="shared" si="89"/>
        <v/>
      </c>
      <c r="CL52" s="234" t="str">
        <f t="shared" si="89"/>
        <v/>
      </c>
      <c r="CM52" s="612" t="str">
        <f t="shared" si="89"/>
        <v/>
      </c>
      <c r="CN52" s="615"/>
      <c r="CO52" s="23">
        <f t="shared" si="9"/>
        <v>41</v>
      </c>
      <c r="CP52" s="246" t="e">
        <f>IF($CP$6=1,CJ32,IF($CP$6=2,CJ58,""))</f>
        <v>#VALUE!</v>
      </c>
      <c r="CQ52" s="246" t="e">
        <f>IF($CP$6=1,CJ33,IF($CP$6=2,CJ59,""))</f>
        <v>#VALUE!</v>
      </c>
      <c r="CR52" s="111"/>
      <c r="CS52" s="246" t="str">
        <f>集計!B46</f>
        <v>藤田</v>
      </c>
      <c r="CT52" s="584" t="str">
        <f t="shared" si="2"/>
        <v/>
      </c>
      <c r="CU52" s="545" t="e">
        <f t="shared" si="3"/>
        <v>#VALUE!</v>
      </c>
      <c r="CV52" s="585" t="str">
        <f t="shared" si="4"/>
        <v/>
      </c>
      <c r="CX52" s="545" t="e">
        <f>IF(INDEX(シート⑤成績表!$E$11:$W$75,ROW(CX52)-11,シート①入力画面!$CT$9)="","",INDEX(シート⑤成績表!$E$11:$W$75,ROW(CX52)-11,シート①入力画面!$CT$9))</f>
        <v>#VALUE!</v>
      </c>
      <c r="DC52" s="261"/>
    </row>
    <row r="53" spans="1:107" ht="17.25" customHeight="1" thickBot="1" x14ac:dyDescent="0.2">
      <c r="A53" s="165"/>
      <c r="B53" s="165"/>
      <c r="C53" s="165"/>
      <c r="D53" s="165"/>
      <c r="E53" s="165"/>
      <c r="F53" s="165"/>
      <c r="G53" s="164" t="s">
        <v>95</v>
      </c>
      <c r="H53" s="164"/>
      <c r="I53" s="164"/>
      <c r="J53" s="164"/>
      <c r="K53" s="165"/>
      <c r="L53" s="165"/>
      <c r="Q53" s="778" t="s">
        <v>321</v>
      </c>
      <c r="R53" s="779"/>
      <c r="S53" s="780" t="s">
        <v>322</v>
      </c>
      <c r="T53" s="781"/>
      <c r="U53" s="778" t="s">
        <v>323</v>
      </c>
      <c r="V53" s="779"/>
      <c r="W53" s="206" t="s">
        <v>324</v>
      </c>
      <c r="Y53" s="782"/>
      <c r="Z53" s="783"/>
      <c r="AA53" s="784"/>
      <c r="AB53" s="641"/>
      <c r="AE53" s="23"/>
      <c r="AF53" s="23"/>
      <c r="AG53"/>
      <c r="AI53"/>
      <c r="AK53" s="96"/>
      <c r="AL53" s="96"/>
      <c r="AP53" s="96"/>
      <c r="AR53" s="261"/>
      <c r="AS53" s="486"/>
      <c r="AT53" s="322" t="s">
        <v>287</v>
      </c>
      <c r="AU53" s="108"/>
      <c r="AY53" s="223" t="s">
        <v>114</v>
      </c>
      <c r="AZ53" s="223"/>
      <c r="BA53" s="223" t="s">
        <v>114</v>
      </c>
      <c r="BB53" s="223"/>
      <c r="BC53" s="223" t="s">
        <v>117</v>
      </c>
      <c r="BG53" s="173"/>
      <c r="BH53" s="196"/>
      <c r="BI53" s="196"/>
      <c r="BJ53" s="197"/>
      <c r="BK53" s="23"/>
      <c r="BL53" s="173"/>
      <c r="BM53" s="196"/>
      <c r="BN53" s="196"/>
      <c r="BO53" s="197"/>
      <c r="BR53" s="479"/>
      <c r="BS53" s="480"/>
      <c r="BT53" s="480"/>
      <c r="BU53" s="481"/>
      <c r="BX53" s="611"/>
      <c r="BY53" s="234"/>
      <c r="BZ53" s="234"/>
      <c r="CA53" s="612"/>
      <c r="CD53" s="381" t="str">
        <f>IF(BX52="","",VLOOKUP(BX52,シート⑤成績表!$C$11:$AE$75,29,FALSE))</f>
        <v/>
      </c>
      <c r="CE53" s="382" t="str">
        <f>IF(BY52="","",VLOOKUP(BY52,シート⑤成績表!$C$11:$AE$75,29,FALSE))</f>
        <v/>
      </c>
      <c r="CF53" s="382" t="str">
        <f>IF(BZ52="","",VLOOKUP(BZ52,シート⑤成績表!$C$11:$AE$75,29,FALSE))</f>
        <v/>
      </c>
      <c r="CG53" s="383" t="str">
        <f>IF(CA52="","",VLOOKUP(CA52,シート⑤成績表!$C$11:$AE$75,29,FALSE))</f>
        <v/>
      </c>
      <c r="CJ53" s="173" t="str">
        <f>IF(シート④スコア記入依頼用紙!F38="","",IF(シート④スコア記入依頼用紙!F38=0,"",シート④スコア記入依頼用紙!F38))</f>
        <v/>
      </c>
      <c r="CK53" s="196" t="str">
        <f>IF(シート④スコア記入依頼用紙!G38="","",IF(シート④スコア記入依頼用紙!G38=0,"",シート④スコア記入依頼用紙!G38))</f>
        <v/>
      </c>
      <c r="CL53" s="196" t="str">
        <f>IF(シート④スコア記入依頼用紙!H38="","",IF(シート④スコア記入依頼用紙!H38=0,"",シート④スコア記入依頼用紙!H38))</f>
        <v/>
      </c>
      <c r="CM53" s="197" t="str">
        <f>IF(シート④スコア記入依頼用紙!I38="","",IF(シート④スコア記入依頼用紙!I38=0,"",シート④スコア記入依頼用紙!I38))</f>
        <v/>
      </c>
      <c r="CN53" s="615">
        <f>SUM(CJ53:CM53)</f>
        <v>0</v>
      </c>
      <c r="CO53" s="23">
        <f t="shared" si="9"/>
        <v>42</v>
      </c>
      <c r="CP53" s="246" t="e">
        <f>IF($CP$6=1,CK32,IF($CP$6=2,CK58,""))</f>
        <v>#VALUE!</v>
      </c>
      <c r="CQ53" s="246" t="e">
        <f>IF($CP$6=1,CK33,IF($CP$6=2,CK59,""))</f>
        <v>#VALUE!</v>
      </c>
      <c r="CR53" s="110"/>
      <c r="CS53" s="246" t="str">
        <f>集計!B47</f>
        <v>古海</v>
      </c>
      <c r="CT53" s="584" t="str">
        <f t="shared" si="2"/>
        <v/>
      </c>
      <c r="CU53" s="545" t="e">
        <f t="shared" si="3"/>
        <v>#VALUE!</v>
      </c>
      <c r="CV53" s="585" t="str">
        <f t="shared" si="4"/>
        <v/>
      </c>
      <c r="CX53" s="545" t="e">
        <f>IF(INDEX(シート⑤成績表!$E$11:$W$75,ROW(CX53)-11,シート①入力画面!$CT$9)="","",INDEX(シート⑤成績表!$E$11:$W$75,ROW(CX53)-11,シート①入力画面!$CT$9))</f>
        <v>#VALUE!</v>
      </c>
      <c r="DC53" s="261"/>
    </row>
    <row r="54" spans="1:107" ht="16.5" customHeight="1" x14ac:dyDescent="0.15">
      <c r="A54" s="165"/>
      <c r="B54" s="165"/>
      <c r="C54" s="165"/>
      <c r="D54" s="165"/>
      <c r="E54" s="165"/>
      <c r="F54" s="165"/>
      <c r="I54" s="23" t="s">
        <v>71</v>
      </c>
      <c r="K54" s="165"/>
      <c r="L54" s="165"/>
      <c r="Q54" s="774"/>
      <c r="R54" s="775"/>
      <c r="S54" s="776"/>
      <c r="T54" s="777"/>
      <c r="U54" s="774"/>
      <c r="V54" s="775"/>
      <c r="W54" s="459"/>
      <c r="X54" s="356"/>
      <c r="Y54" s="763"/>
      <c r="Z54" s="764"/>
      <c r="AA54" s="765"/>
      <c r="AB54" s="641"/>
      <c r="AE54" s="23"/>
      <c r="AF54" s="23"/>
      <c r="AG54" s="23"/>
      <c r="AL54" s="96"/>
      <c r="AM54" s="96"/>
      <c r="AP54" s="96"/>
      <c r="AR54" s="261"/>
      <c r="AS54" s="487"/>
      <c r="AT54" s="325" t="s">
        <v>493</v>
      </c>
      <c r="AU54" s="108"/>
      <c r="AY54" s="223" t="s">
        <v>115</v>
      </c>
      <c r="AZ54" s="223"/>
      <c r="BA54" s="223" t="s">
        <v>116</v>
      </c>
      <c r="BB54" s="223"/>
      <c r="BC54" s="223" t="s">
        <v>115</v>
      </c>
      <c r="BG54" s="173" t="str">
        <f>組合せﾃﾞｰﾀ!AD23</f>
        <v/>
      </c>
      <c r="BH54" s="196" t="str">
        <f>組合せﾃﾞｰﾀ!AE23</f>
        <v/>
      </c>
      <c r="BI54" s="196" t="str">
        <f>組合せﾃﾞｰﾀ!AF23</f>
        <v/>
      </c>
      <c r="BJ54" s="197" t="str">
        <f>組合せﾃﾞｰﾀ!AG23</f>
        <v/>
      </c>
      <c r="BK54" s="23"/>
      <c r="BL54" s="173" t="str">
        <f>組合せﾃﾞｰﾀ!AN23</f>
        <v/>
      </c>
      <c r="BM54" s="196" t="str">
        <f>組合せﾃﾞｰﾀ!AO23</f>
        <v/>
      </c>
      <c r="BN54" s="196" t="str">
        <f>組合せﾃﾞｰﾀ!AP23</f>
        <v/>
      </c>
      <c r="BO54" s="197" t="str">
        <f>組合せﾃﾞｰﾀ!AQ23</f>
        <v/>
      </c>
      <c r="BR54" s="479" t="str">
        <f>IF($BA$45=2,組合せﾃﾞｰﾀ!AN23,組合せﾃﾞｰﾀ!AD23)</f>
        <v/>
      </c>
      <c r="BS54" s="480" t="str">
        <f>IF($BA$45=2,組合せﾃﾞｰﾀ!AO23,組合せﾃﾞｰﾀ!AE23)</f>
        <v/>
      </c>
      <c r="BT54" s="480" t="str">
        <f>IF($BA$45=2,組合せﾃﾞｰﾀ!AP23,組合せﾃﾞｰﾀ!AF23)</f>
        <v/>
      </c>
      <c r="BU54" s="481" t="str">
        <f>IF($BA$45=2,組合せﾃﾞｰﾀ!AQ23,組合せﾃﾞｰﾀ!AG23)</f>
        <v/>
      </c>
      <c r="BX54" s="611" t="str">
        <f>IF(BR54="ｷｬﾝｾﾙ1","",IF(BR54="ｷｬﾝｾﾙ2","",IF(BR54="ｷｬﾝｾﾙ3","",IF(BR54="ｷｬﾝｾﾙ4","",IF(BR54="ｷｬﾝｾﾙ5","",IF(BR54="ｷｬﾝｾﾙ6","",IF(BR54="ｷｬﾝｾﾙ7","",IF(BR54="ｷｬﾝｾﾙ8","",IF(BR54="blank","",BR54)))))))))</f>
        <v/>
      </c>
      <c r="BY54" s="234" t="str">
        <f t="shared" ref="BY54" si="90">IF(BS54="ｷｬﾝｾﾙ1","",IF(BS54="ｷｬﾝｾﾙ2","",IF(BS54="ｷｬﾝｾﾙ3","",IF(BS54="ｷｬﾝｾﾙ4","",IF(BS54="ｷｬﾝｾﾙ5","",IF(BS54="ｷｬﾝｾﾙ6","",IF(BS54="ｷｬﾝｾﾙ7","",IF(BS54="ｷｬﾝｾﾙ8","",IF(BS54="blank","",BS54)))))))))</f>
        <v/>
      </c>
      <c r="BZ54" s="234" t="str">
        <f t="shared" ref="BZ54" si="91">IF(BT54="ｷｬﾝｾﾙ1","",IF(BT54="ｷｬﾝｾﾙ2","",IF(BT54="ｷｬﾝｾﾙ3","",IF(BT54="ｷｬﾝｾﾙ4","",IF(BT54="ｷｬﾝｾﾙ5","",IF(BT54="ｷｬﾝｾﾙ6","",IF(BT54="ｷｬﾝｾﾙ7","",IF(BT54="ｷｬﾝｾﾙ8","",IF(BT54="blank","",BT54)))))))))</f>
        <v/>
      </c>
      <c r="CA54" s="612" t="str">
        <f t="shared" ref="CA54" si="92">IF(BU54="ｷｬﾝｾﾙ1","",IF(BU54="ｷｬﾝｾﾙ2","",IF(BU54="ｷｬﾝｾﾙ3","",IF(BU54="ｷｬﾝｾﾙ4","",IF(BU54="ｷｬﾝｾﾙ5","",IF(BU54="ｷｬﾝｾﾙ6","",IF(BU54="ｷｬﾝｾﾙ7","",IF(BU54="ｷｬﾝｾﾙ8","",IF(BU54="blank","",BU54)))))))))</f>
        <v/>
      </c>
      <c r="CD54" s="378" t="str">
        <f>IF(BX54="","",VLOOKUP(BX54,シート⑤成績表!$C$11:$AE$75,22,FALSE))</f>
        <v/>
      </c>
      <c r="CE54" s="379" t="str">
        <f>IF(BY54="","",VLOOKUP(BY54,シート⑤成績表!$C$11:$AE$75,22,FALSE))</f>
        <v/>
      </c>
      <c r="CF54" s="379" t="str">
        <f>IF(BZ54="","",VLOOKUP(BZ54,シート⑤成績表!$C$11:$AE$75,22,FALSE))</f>
        <v/>
      </c>
      <c r="CG54" s="380" t="str">
        <f>IF(CA54="","",VLOOKUP(CA54,シート⑤成績表!$C$11:$AE$75,22,FALSE))</f>
        <v/>
      </c>
      <c r="CJ54" s="611" t="str">
        <f t="shared" ref="CJ54:CM54" si="93">BX54</f>
        <v/>
      </c>
      <c r="CK54" s="234" t="str">
        <f t="shared" si="93"/>
        <v/>
      </c>
      <c r="CL54" s="234" t="str">
        <f t="shared" si="93"/>
        <v/>
      </c>
      <c r="CM54" s="612" t="str">
        <f t="shared" si="93"/>
        <v/>
      </c>
      <c r="CN54" s="615"/>
      <c r="CO54" s="23">
        <f t="shared" si="9"/>
        <v>43</v>
      </c>
      <c r="CP54" s="246" t="e">
        <f>IF($CP$6=1,CL32,IF($CP$6=2,CL58,""))</f>
        <v>#VALUE!</v>
      </c>
      <c r="CQ54" s="246" t="e">
        <f>IF($CP$6=1,CL33,IF($CP$6=2,CL59,""))</f>
        <v>#VALUE!</v>
      </c>
      <c r="CR54" s="111"/>
      <c r="CS54" s="246" t="str">
        <f>集計!B48</f>
        <v>松岡</v>
      </c>
      <c r="CT54" s="584" t="str">
        <f t="shared" si="2"/>
        <v/>
      </c>
      <c r="CU54" s="545" t="e">
        <f t="shared" si="3"/>
        <v>#VALUE!</v>
      </c>
      <c r="CV54" s="585" t="str">
        <f t="shared" si="4"/>
        <v/>
      </c>
      <c r="CX54" s="545" t="e">
        <f>IF(INDEX(シート⑤成績表!$E$11:$W$75,ROW(CX54)-11,シート①入力画面!$CT$9)="","",INDEX(シート⑤成績表!$E$11:$W$75,ROW(CX54)-11,シート①入力画面!$CT$9))</f>
        <v>#VALUE!</v>
      </c>
      <c r="DC54" s="261"/>
    </row>
    <row r="55" spans="1:107" ht="16.5" customHeight="1" thickBot="1" x14ac:dyDescent="0.2">
      <c r="A55" s="96"/>
      <c r="B55" s="96"/>
      <c r="C55" s="96"/>
      <c r="D55" s="96"/>
      <c r="E55" s="96"/>
      <c r="F55" s="96"/>
      <c r="I55" s="23" t="s">
        <v>94</v>
      </c>
      <c r="K55" s="96"/>
      <c r="L55" s="96"/>
      <c r="Q55" s="774"/>
      <c r="R55" s="775"/>
      <c r="S55" s="774"/>
      <c r="T55" s="775"/>
      <c r="U55" s="774"/>
      <c r="V55" s="775"/>
      <c r="W55" s="459"/>
      <c r="Y55" s="766"/>
      <c r="Z55" s="767"/>
      <c r="AA55" s="768"/>
      <c r="AB55" s="641"/>
      <c r="AE55" s="23"/>
      <c r="AF55" s="23"/>
      <c r="AG55" s="23"/>
      <c r="AI55" s="96"/>
      <c r="AL55" s="96"/>
      <c r="AM55" s="96"/>
      <c r="AP55" s="96"/>
      <c r="AQ55" s="15"/>
      <c r="AR55" s="261"/>
      <c r="AT55"/>
      <c r="AU55" s="108"/>
      <c r="AY55" s="223" t="s">
        <v>105</v>
      </c>
      <c r="AZ55" s="223"/>
      <c r="BA55" s="223" t="s">
        <v>105</v>
      </c>
      <c r="BB55" s="223"/>
      <c r="BC55" s="223"/>
      <c r="BG55" s="173"/>
      <c r="BH55" s="196"/>
      <c r="BI55" s="196"/>
      <c r="BJ55" s="197"/>
      <c r="BK55" s="23"/>
      <c r="BL55" s="173"/>
      <c r="BM55" s="196"/>
      <c r="BN55" s="196"/>
      <c r="BO55" s="197"/>
      <c r="BR55" s="479"/>
      <c r="BS55" s="480"/>
      <c r="BT55" s="480"/>
      <c r="BU55" s="481"/>
      <c r="BX55" s="611"/>
      <c r="BY55" s="234"/>
      <c r="BZ55" s="234"/>
      <c r="CA55" s="612"/>
      <c r="CD55" s="381" t="str">
        <f>IF(BX54="","",VLOOKUP(BX54,シート⑤成績表!$C$11:$AE$75,29,FALSE))</f>
        <v/>
      </c>
      <c r="CE55" s="382" t="str">
        <f>IF(BY54="","",VLOOKUP(BY54,シート⑤成績表!$C$11:$AE$75,29,FALSE))</f>
        <v/>
      </c>
      <c r="CF55" s="382" t="str">
        <f>IF(BZ54="","",VLOOKUP(BZ54,シート⑤成績表!$C$11:$AE$75,29,FALSE))</f>
        <v/>
      </c>
      <c r="CG55" s="383" t="str">
        <f>IF(CA54="","",VLOOKUP(CA54,シート⑤成績表!$C$11:$AE$75,29,FALSE))</f>
        <v/>
      </c>
      <c r="CJ55" s="173" t="str">
        <f>IF(シート④スコア記入依頼用紙!F41="","",IF(シート④スコア記入依頼用紙!F41=0,"",シート④スコア記入依頼用紙!F41))</f>
        <v/>
      </c>
      <c r="CK55" s="196" t="str">
        <f>IF(シート④スコア記入依頼用紙!G41="","",IF(シート④スコア記入依頼用紙!G41=0,"",シート④スコア記入依頼用紙!G41))</f>
        <v/>
      </c>
      <c r="CL55" s="196" t="str">
        <f>IF(シート④スコア記入依頼用紙!H41="","",IF(シート④スコア記入依頼用紙!H41=0,"",シート④スコア記入依頼用紙!H41))</f>
        <v/>
      </c>
      <c r="CM55" s="197" t="str">
        <f>IF(シート④スコア記入依頼用紙!I41="","",IF(シート④スコア記入依頼用紙!I41=0,"",シート④スコア記入依頼用紙!I41))</f>
        <v/>
      </c>
      <c r="CN55" s="615">
        <f>SUM(CJ55:CM55)</f>
        <v>0</v>
      </c>
      <c r="CO55" s="23">
        <f t="shared" si="9"/>
        <v>44</v>
      </c>
      <c r="CP55" s="246" t="e">
        <f>IF($CP$6=1,CM32,IF($CP$6=2,CM58,""))</f>
        <v>#VALUE!</v>
      </c>
      <c r="CQ55" s="246" t="e">
        <f>IF($CP$6=1,CM33,IF($CP$6=2,CM59,""))</f>
        <v>#VALUE!</v>
      </c>
      <c r="CR55" s="110"/>
      <c r="CS55" s="246" t="str">
        <f>集計!B49</f>
        <v>豆田</v>
      </c>
      <c r="CT55" s="584" t="str">
        <f t="shared" si="2"/>
        <v/>
      </c>
      <c r="CU55" s="545" t="e">
        <f t="shared" si="3"/>
        <v>#VALUE!</v>
      </c>
      <c r="CV55" s="585" t="str">
        <f t="shared" si="4"/>
        <v/>
      </c>
      <c r="CX55" s="545" t="e">
        <f>IF(INDEX(シート⑤成績表!$E$11:$W$75,ROW(CX55)-11,シート①入力画面!$CT$9)="","",INDEX(シート⑤成績表!$E$11:$W$75,ROW(CX55)-11,シート①入力画面!$CT$9))</f>
        <v>#VALUE!</v>
      </c>
      <c r="DC55" s="261"/>
    </row>
    <row r="56" spans="1:107" ht="16.5" customHeight="1" x14ac:dyDescent="0.15">
      <c r="I56" s="23" t="s">
        <v>72</v>
      </c>
      <c r="P56" s="359" t="s">
        <v>313</v>
      </c>
      <c r="Q56" s="567" t="s">
        <v>314</v>
      </c>
      <c r="R56" s="567"/>
      <c r="S56" s="567" t="s">
        <v>320</v>
      </c>
      <c r="T56" s="567"/>
      <c r="U56" s="567" t="s">
        <v>315</v>
      </c>
      <c r="V56" s="567"/>
      <c r="W56" s="358" t="s">
        <v>316</v>
      </c>
      <c r="X56" s="23"/>
      <c r="Z56" s="97"/>
      <c r="AA56" s="97"/>
      <c r="AB56"/>
      <c r="AF56" s="23"/>
      <c r="AG56" s="23"/>
      <c r="AI56" s="96"/>
      <c r="AL56" s="96"/>
      <c r="AM56" s="96"/>
      <c r="AP56" s="96"/>
      <c r="AQ56" s="15"/>
      <c r="AR56" s="267"/>
      <c r="AS56" s="259"/>
      <c r="AT56"/>
      <c r="AU56" s="108"/>
      <c r="AW56" s="224">
        <f>IF(BA36=1,IF($BA$45=1,1,0),0)</f>
        <v>0</v>
      </c>
      <c r="AY56" s="224">
        <f>IF($AW$45=2,IF($BA$45=1,IF($AY45=2,1,0),0),0)</f>
        <v>0</v>
      </c>
      <c r="AZ56" s="223"/>
      <c r="BA56" s="224">
        <f>IF($AY$45=2,1,0)</f>
        <v>0</v>
      </c>
      <c r="BB56" s="223"/>
      <c r="BC56" s="224">
        <f>IF($AW$45=2,IF($BA$45=2,IF($AY45=2,1,0),0),0)</f>
        <v>0</v>
      </c>
      <c r="BG56" s="173" t="str">
        <f>組合せﾃﾞｰﾀ!AD25</f>
        <v/>
      </c>
      <c r="BH56" s="196" t="str">
        <f>組合せﾃﾞｰﾀ!AE25</f>
        <v/>
      </c>
      <c r="BI56" s="196" t="str">
        <f>組合せﾃﾞｰﾀ!AF25</f>
        <v/>
      </c>
      <c r="BJ56" s="197" t="str">
        <f>組合せﾃﾞｰﾀ!AG25</f>
        <v/>
      </c>
      <c r="BK56" s="23"/>
      <c r="BL56" s="173" t="str">
        <f>組合せﾃﾞｰﾀ!AN25</f>
        <v/>
      </c>
      <c r="BM56" s="196" t="str">
        <f>組合せﾃﾞｰﾀ!AO25</f>
        <v/>
      </c>
      <c r="BN56" s="196" t="str">
        <f>組合せﾃﾞｰﾀ!AP25</f>
        <v/>
      </c>
      <c r="BO56" s="197" t="str">
        <f>組合せﾃﾞｰﾀ!AQ25</f>
        <v/>
      </c>
      <c r="BR56" s="479" t="str">
        <f>IF($BA$45=2,組合せﾃﾞｰﾀ!AN25,組合せﾃﾞｰﾀ!AD25)</f>
        <v/>
      </c>
      <c r="BS56" s="480" t="str">
        <f>IF($BA$45=2,組合せﾃﾞｰﾀ!AO25,組合せﾃﾞｰﾀ!AE25)</f>
        <v/>
      </c>
      <c r="BT56" s="480" t="str">
        <f>IF($BA$45=2,組合せﾃﾞｰﾀ!AP25,組合せﾃﾞｰﾀ!AF25)</f>
        <v/>
      </c>
      <c r="BU56" s="481" t="str">
        <f>IF($BA$45=2,組合せﾃﾞｰﾀ!AQ25,組合せﾃﾞｰﾀ!AG25)</f>
        <v/>
      </c>
      <c r="BX56" s="611" t="str">
        <f>IF(BR56="ｷｬﾝｾﾙ1","",IF(BR56="ｷｬﾝｾﾙ2","",IF(BR56="ｷｬﾝｾﾙ3","",IF(BR56="ｷｬﾝｾﾙ4","",IF(BR56="ｷｬﾝｾﾙ5","",IF(BR56="ｷｬﾝｾﾙ6","",IF(BR56="ｷｬﾝｾﾙ7","",IF(BR56="ｷｬﾝｾﾙ8","",IF(BR56="blank","",BR56)))))))))</f>
        <v/>
      </c>
      <c r="BY56" s="234" t="str">
        <f t="shared" ref="BY56" si="94">IF(BS56="ｷｬﾝｾﾙ1","",IF(BS56="ｷｬﾝｾﾙ2","",IF(BS56="ｷｬﾝｾﾙ3","",IF(BS56="ｷｬﾝｾﾙ4","",IF(BS56="ｷｬﾝｾﾙ5","",IF(BS56="ｷｬﾝｾﾙ6","",IF(BS56="ｷｬﾝｾﾙ7","",IF(BS56="ｷｬﾝｾﾙ8","",IF(BS56="blank","",BS56)))))))))</f>
        <v/>
      </c>
      <c r="BZ56" s="234" t="str">
        <f t="shared" ref="BZ56" si="95">IF(BT56="ｷｬﾝｾﾙ1","",IF(BT56="ｷｬﾝｾﾙ2","",IF(BT56="ｷｬﾝｾﾙ3","",IF(BT56="ｷｬﾝｾﾙ4","",IF(BT56="ｷｬﾝｾﾙ5","",IF(BT56="ｷｬﾝｾﾙ6","",IF(BT56="ｷｬﾝｾﾙ7","",IF(BT56="ｷｬﾝｾﾙ8","",IF(BT56="blank","",BT56)))))))))</f>
        <v/>
      </c>
      <c r="CA56" s="612" t="str">
        <f t="shared" ref="CA56" si="96">IF(BU56="ｷｬﾝｾﾙ1","",IF(BU56="ｷｬﾝｾﾙ2","",IF(BU56="ｷｬﾝｾﾙ3","",IF(BU56="ｷｬﾝｾﾙ4","",IF(BU56="ｷｬﾝｾﾙ5","",IF(BU56="ｷｬﾝｾﾙ6","",IF(BU56="ｷｬﾝｾﾙ7","",IF(BU56="ｷｬﾝｾﾙ8","",IF(BU56="blank","",BU56)))))))))</f>
        <v/>
      </c>
      <c r="CD56" s="378" t="str">
        <f>IF(BX56="","",VLOOKUP(BX56,シート⑤成績表!$C$11:$AE$75,22,FALSE))</f>
        <v/>
      </c>
      <c r="CE56" s="379" t="str">
        <f>IF(BY56="","",VLOOKUP(BY56,シート⑤成績表!$C$11:$AE$75,22,FALSE))</f>
        <v/>
      </c>
      <c r="CF56" s="379" t="str">
        <f>IF(BZ56="","",VLOOKUP(BZ56,シート⑤成績表!$C$11:$AE$75,22,FALSE))</f>
        <v/>
      </c>
      <c r="CG56" s="380" t="str">
        <f>IF(CA56="","",VLOOKUP(CA56,シート⑤成績表!$C$11:$AE$75,22,FALSE))</f>
        <v/>
      </c>
      <c r="CJ56" s="611" t="str">
        <f t="shared" ref="CJ56:CM56" si="97">BX56</f>
        <v/>
      </c>
      <c r="CK56" s="234" t="str">
        <f t="shared" si="97"/>
        <v/>
      </c>
      <c r="CL56" s="234" t="str">
        <f t="shared" si="97"/>
        <v/>
      </c>
      <c r="CM56" s="612" t="str">
        <f t="shared" si="97"/>
        <v/>
      </c>
      <c r="CN56" s="616"/>
      <c r="CO56" s="23">
        <f t="shared" si="9"/>
        <v>45</v>
      </c>
      <c r="CP56" s="246" t="e">
        <f>IF($CP$6=1,CJ34,IF($CP$6=2,CJ60,""))</f>
        <v>#VALUE!</v>
      </c>
      <c r="CQ56" s="246" t="e">
        <f>IF($CP$6=1,CJ35,IF($CP$6=2,CJ61,""))</f>
        <v>#VALUE!</v>
      </c>
      <c r="CR56" s="111"/>
      <c r="CS56" s="246" t="str">
        <f>集計!B50</f>
        <v>三井</v>
      </c>
      <c r="CT56" s="584" t="str">
        <f t="shared" si="2"/>
        <v/>
      </c>
      <c r="CU56" s="545" t="e">
        <f t="shared" si="3"/>
        <v>#VALUE!</v>
      </c>
      <c r="CV56" s="585" t="str">
        <f t="shared" si="4"/>
        <v/>
      </c>
      <c r="CX56" s="545" t="e">
        <f>IF(INDEX(シート⑤成績表!$E$11:$W$75,ROW(CX56)-11,シート①入力画面!$CT$9)="","",INDEX(シート⑤成績表!$E$11:$W$75,ROW(CX56)-11,シート①入力画面!$CT$9))</f>
        <v>#VALUE!</v>
      </c>
      <c r="DC56" s="261"/>
    </row>
    <row r="57" spans="1:107" ht="16.5" customHeight="1" thickBot="1" x14ac:dyDescent="0.2">
      <c r="I57" s="23" t="s">
        <v>241</v>
      </c>
      <c r="Y57" s="96" t="e">
        <f>CM75</f>
        <v>#VALUE!</v>
      </c>
      <c r="AE57" s="23"/>
      <c r="AF57" s="23"/>
      <c r="AG57" s="23"/>
      <c r="AI57" s="96"/>
      <c r="AL57" s="96"/>
      <c r="AM57"/>
      <c r="AO57" s="15"/>
      <c r="AP57" s="96"/>
      <c r="AQ57" s="15"/>
      <c r="AR57" s="261"/>
      <c r="AT57"/>
      <c r="AU57" s="108"/>
      <c r="AW57" s="223"/>
      <c r="AY57" s="223"/>
      <c r="AZ57" s="223"/>
      <c r="BA57" s="223"/>
      <c r="BB57" s="223"/>
      <c r="BC57" s="223"/>
      <c r="BG57" s="174"/>
      <c r="BH57" s="316"/>
      <c r="BI57" s="316"/>
      <c r="BJ57" s="604"/>
      <c r="BK57" s="23"/>
      <c r="BL57" s="174"/>
      <c r="BM57" s="316"/>
      <c r="BN57" s="316"/>
      <c r="BO57" s="604"/>
      <c r="BR57" s="622"/>
      <c r="BS57" s="623"/>
      <c r="BT57" s="623"/>
      <c r="BU57" s="624"/>
      <c r="BX57" s="611"/>
      <c r="BY57" s="234"/>
      <c r="BZ57" s="234"/>
      <c r="CA57" s="612"/>
      <c r="CD57" s="381" t="str">
        <f>IF(BX56="","",VLOOKUP(BX56,シート⑤成績表!$C$11:$AE$75,29,FALSE))</f>
        <v/>
      </c>
      <c r="CE57" s="382" t="str">
        <f>IF(BY56="","",VLOOKUP(BY56,シート⑤成績表!$C$11:$AE$75,29,FALSE))</f>
        <v/>
      </c>
      <c r="CF57" s="382" t="str">
        <f>IF(BZ56="","",VLOOKUP(BZ56,シート⑤成績表!$C$11:$AE$75,29,FALSE))</f>
        <v/>
      </c>
      <c r="CG57" s="383" t="str">
        <f>IF(CA56="","",VLOOKUP(CA56,シート⑤成績表!$C$11:$AE$75,29,FALSE))</f>
        <v/>
      </c>
      <c r="CJ57" s="173" t="str">
        <f>IF(シート④スコア記入依頼用紙!F44="","",IF(シート④スコア記入依頼用紙!F44=0,"",シート④スコア記入依頼用紙!F44))</f>
        <v/>
      </c>
      <c r="CK57" s="196" t="str">
        <f>IF(シート④スコア記入依頼用紙!G44="","",IF(シート④スコア記入依頼用紙!G44=0,"",シート④スコア記入依頼用紙!G44))</f>
        <v/>
      </c>
      <c r="CL57" s="196" t="str">
        <f>IF(シート④スコア記入依頼用紙!H44="","",IF(シート④スコア記入依頼用紙!H44=0,"",シート④スコア記入依頼用紙!H44))</f>
        <v/>
      </c>
      <c r="CM57" s="604" t="str">
        <f>IF(シート④スコア記入依頼用紙!I44="","",IF(シート④スコア記入依頼用紙!I44=0,"",シート④スコア記入依頼用紙!I44))</f>
        <v/>
      </c>
      <c r="CN57" s="174">
        <f>SUM(CJ57:CM57)</f>
        <v>0</v>
      </c>
      <c r="CO57" s="23">
        <f t="shared" si="9"/>
        <v>46</v>
      </c>
      <c r="CP57" s="246" t="e">
        <f>IF($CP$6=1,CK34,IF($CP$6=2,CK60,""))</f>
        <v>#VALUE!</v>
      </c>
      <c r="CQ57" s="246" t="e">
        <f>IF($CP$6=1,CK35,IF($CP$6=2,CK61,""))</f>
        <v>#VALUE!</v>
      </c>
      <c r="CR57" s="110"/>
      <c r="CS57" s="246" t="str">
        <f>集計!B51</f>
        <v>南村</v>
      </c>
      <c r="CT57" s="584" t="str">
        <f t="shared" si="2"/>
        <v/>
      </c>
      <c r="CU57" s="545" t="e">
        <f t="shared" si="3"/>
        <v>#VALUE!</v>
      </c>
      <c r="CV57" s="585" t="str">
        <f t="shared" si="4"/>
        <v/>
      </c>
      <c r="CX57" s="545" t="e">
        <f>IF(INDEX(シート⑤成績表!$E$11:$W$75,ROW(CX57)-11,シート①入力画面!$CT$9)="","",INDEX(シート⑤成績表!$E$11:$W$75,ROW(CX57)-11,シート①入力画面!$CT$9))</f>
        <v>#VALUE!</v>
      </c>
      <c r="DC57" s="261"/>
    </row>
    <row r="58" spans="1:107" ht="16.5" customHeight="1" x14ac:dyDescent="0.15">
      <c r="I58" s="23" t="s">
        <v>290</v>
      </c>
      <c r="AE58" s="23"/>
      <c r="AF58" s="23"/>
      <c r="AG58" s="23"/>
      <c r="AI58" s="96"/>
      <c r="AL58" s="96"/>
      <c r="AM58" s="96"/>
      <c r="AO58" s="15"/>
      <c r="AP58" s="96"/>
      <c r="AQ58" s="15"/>
      <c r="AR58" s="261"/>
      <c r="AS58" s="318">
        <v>1</v>
      </c>
      <c r="AT58" s="320" t="s">
        <v>496</v>
      </c>
      <c r="AW58" s="225">
        <f>IF(AW56=1,IF(AW59&gt;=10,0,AW59+1),0)</f>
        <v>0</v>
      </c>
      <c r="AY58" s="225">
        <f>IF(AY56=1,IF(AY59&gt;=10,0,AY59+1),0)</f>
        <v>0</v>
      </c>
      <c r="AZ58" s="223" t="s">
        <v>93</v>
      </c>
      <c r="BA58" s="225">
        <f>IF(BA56=1,IF(BA59&gt;=10,0,BA59+1),0)</f>
        <v>0</v>
      </c>
      <c r="BB58" s="223"/>
      <c r="BC58" s="225">
        <f>IF(BC56=1,IF(BC59&gt;=10,0,BC59+1),0)</f>
        <v>0</v>
      </c>
      <c r="BG58" s="173" t="str">
        <f>組合せﾃﾞｰﾀ!AD27</f>
        <v/>
      </c>
      <c r="BH58" s="196" t="str">
        <f>組合せﾃﾞｰﾀ!AE27</f>
        <v/>
      </c>
      <c r="BI58" s="196" t="str">
        <f>組合せﾃﾞｰﾀ!AF27</f>
        <v/>
      </c>
      <c r="BJ58" s="197" t="str">
        <f>組合せﾃﾞｰﾀ!AG27</f>
        <v/>
      </c>
      <c r="BL58" s="173" t="str">
        <f>組合せﾃﾞｰﾀ!AN27</f>
        <v/>
      </c>
      <c r="BM58" s="196" t="str">
        <f>組合せﾃﾞｰﾀ!AO27</f>
        <v/>
      </c>
      <c r="BN58" s="196" t="str">
        <f>組合せﾃﾞｰﾀ!AP27</f>
        <v/>
      </c>
      <c r="BO58" s="197" t="str">
        <f>組合せﾃﾞｰﾀ!AQ27</f>
        <v/>
      </c>
      <c r="BR58" s="479" t="str">
        <f>IF($BA$45=2,組合せﾃﾞｰﾀ!AN27,組合せﾃﾞｰﾀ!AD27)</f>
        <v/>
      </c>
      <c r="BS58" s="480" t="str">
        <f>IF($BA$45=2,組合せﾃﾞｰﾀ!AO27,組合せﾃﾞｰﾀ!AE27)</f>
        <v/>
      </c>
      <c r="BT58" s="480" t="str">
        <f>IF($BA$45=2,組合せﾃﾞｰﾀ!AP27,組合せﾃﾞｰﾀ!AF27)</f>
        <v/>
      </c>
      <c r="BU58" s="481" t="str">
        <f>IF($BA$45=2,組合せﾃﾞｰﾀ!AQ27,組合せﾃﾞｰﾀ!AG27)</f>
        <v/>
      </c>
      <c r="BX58" s="595" t="str">
        <f>IF(BR58="ｷｬﾝｾﾙ1","",IF(BR58="ｷｬﾝｾﾙ2","",IF(BR58="ｷｬﾝｾﾙ3","",IF(BR58="ｷｬﾝｾﾙ4","",IF(BR58="ｷｬﾝｾﾙ5","",IF(BR58="ｷｬﾝｾﾙ6","",IF(BR58="ｷｬﾝｾﾙ7","",IF(BR58="ｷｬﾝｾﾙ8","",IF(BR58="blank","",BR58)))))))))</f>
        <v/>
      </c>
      <c r="BY58" s="596" t="str">
        <f t="shared" ref="BY58" si="98">IF(BS58="ｷｬﾝｾﾙ1","",IF(BS58="ｷｬﾝｾﾙ2","",IF(BS58="ｷｬﾝｾﾙ3","",IF(BS58="ｷｬﾝｾﾙ4","",IF(BS58="ｷｬﾝｾﾙ5","",IF(BS58="ｷｬﾝｾﾙ6","",IF(BS58="ｷｬﾝｾﾙ7","",IF(BS58="ｷｬﾝｾﾙ8","",IF(BS58="blank","",BS58)))))))))</f>
        <v/>
      </c>
      <c r="BZ58" s="596" t="str">
        <f t="shared" ref="BZ58" si="99">IF(BT58="ｷｬﾝｾﾙ1","",IF(BT58="ｷｬﾝｾﾙ2","",IF(BT58="ｷｬﾝｾﾙ3","",IF(BT58="ｷｬﾝｾﾙ4","",IF(BT58="ｷｬﾝｾﾙ5","",IF(BT58="ｷｬﾝｾﾙ6","",IF(BT58="ｷｬﾝｾﾙ7","",IF(BT58="ｷｬﾝｾﾙ8","",IF(BT58="blank","",BT58)))))))))</f>
        <v/>
      </c>
      <c r="CA58" s="597" t="str">
        <f t="shared" ref="CA58" si="100">IF(BU58="ｷｬﾝｾﾙ1","",IF(BU58="ｷｬﾝｾﾙ2","",IF(BU58="ｷｬﾝｾﾙ3","",IF(BU58="ｷｬﾝｾﾙ4","",IF(BU58="ｷｬﾝｾﾙ5","",IF(BU58="ｷｬﾝｾﾙ6","",IF(BU58="ｷｬﾝｾﾙ7","",IF(BU58="ｷｬﾝｾﾙ8","",IF(BU58="blank","",BU58)))))))))</f>
        <v/>
      </c>
      <c r="CD58" s="378" t="str">
        <f>IF(BX58="","",VLOOKUP(BX58,シート⑤成績表!$C$11:$AE$75,22,FALSE))</f>
        <v/>
      </c>
      <c r="CE58" s="379" t="str">
        <f>IF(BY58="","",VLOOKUP(BY58,シート⑤成績表!$C$11:$AE$75,22,FALSE))</f>
        <v/>
      </c>
      <c r="CF58" s="379" t="str">
        <f>IF(BZ58="","",VLOOKUP(BZ58,シート⑤成績表!$C$11:$AE$75,22,FALSE))</f>
        <v/>
      </c>
      <c r="CG58" s="380" t="str">
        <f>IF(CA58="","",VLOOKUP(CA58,シート⑤成績表!$C$11:$AE$75,22,FALSE))</f>
        <v/>
      </c>
      <c r="CJ58" s="611" t="str">
        <f t="shared" ref="CJ58" si="101">BX58</f>
        <v/>
      </c>
      <c r="CK58" s="234" t="str">
        <f t="shared" ref="CK58" si="102">BY58</f>
        <v/>
      </c>
      <c r="CL58" s="234" t="str">
        <f t="shared" ref="CL58" si="103">BZ58</f>
        <v/>
      </c>
      <c r="CM58" s="612" t="str">
        <f t="shared" ref="CM58" si="104">CA58</f>
        <v/>
      </c>
      <c r="CN58" s="172"/>
      <c r="CO58" s="23">
        <f t="shared" si="9"/>
        <v>47</v>
      </c>
      <c r="CP58" s="246" t="e">
        <f>IF($CP$6=1,CL34,IF($CP$6=2,CL60,""))</f>
        <v>#VALUE!</v>
      </c>
      <c r="CQ58" s="246" t="e">
        <f>IF($CP$6=1,CL35,IF($CP$6=2,CL61,""))</f>
        <v>#VALUE!</v>
      </c>
      <c r="CR58" s="111"/>
      <c r="CS58" s="246" t="str">
        <f>集計!B52</f>
        <v>宮田</v>
      </c>
      <c r="CT58" s="584" t="str">
        <f t="shared" si="2"/>
        <v/>
      </c>
      <c r="CU58" s="545" t="e">
        <f t="shared" si="3"/>
        <v>#VALUE!</v>
      </c>
      <c r="CV58" s="585" t="str">
        <f t="shared" si="4"/>
        <v/>
      </c>
      <c r="CX58" s="545" t="e">
        <f>IF(INDEX(シート⑤成績表!$E$11:$W$75,ROW(CX58)-11,シート①入力画面!$CT$9)="","",INDEX(シート⑤成績表!$E$11:$W$75,ROW(CX58)-11,シート①入力画面!$CT$9))</f>
        <v>#VALUE!</v>
      </c>
      <c r="DC58" s="261"/>
    </row>
    <row r="59" spans="1:107" ht="16.5" customHeight="1" thickBot="1" x14ac:dyDescent="0.2">
      <c r="AE59" s="23"/>
      <c r="AF59" s="23"/>
      <c r="AG59" s="23"/>
      <c r="AI59" s="96"/>
      <c r="AL59" s="96"/>
      <c r="AM59"/>
      <c r="AO59" s="15"/>
      <c r="AP59" s="96"/>
      <c r="AQ59" s="15"/>
      <c r="AR59" s="261"/>
      <c r="AS59" s="322">
        <v>3</v>
      </c>
      <c r="AT59" s="532" t="str">
        <f>IF($AZ$48=0,"(2) 組内の並べ方整備（年齢順等）をしました。","(2)　　★(2)は選択しないでください－「並べ方整備」はｼｰﾄ②～④で行われています★")</f>
        <v>(2) 組内の並べ方整備（年齢順等）をしました。</v>
      </c>
      <c r="AW59" s="226">
        <f>AW58+1</f>
        <v>1</v>
      </c>
      <c r="AX59" s="260"/>
      <c r="AY59" s="226">
        <f>AY58+1</f>
        <v>1</v>
      </c>
      <c r="AZ59" s="223"/>
      <c r="BA59" s="226">
        <f>BA58+1</f>
        <v>1</v>
      </c>
      <c r="BB59" s="223"/>
      <c r="BC59" s="226">
        <f>BC58+1</f>
        <v>1</v>
      </c>
      <c r="BG59" s="173"/>
      <c r="BH59" s="196"/>
      <c r="BI59" s="196"/>
      <c r="BJ59" s="197"/>
      <c r="BL59" s="627"/>
      <c r="BM59" s="206"/>
      <c r="BN59" s="206"/>
      <c r="BO59" s="605"/>
      <c r="BR59" s="625"/>
      <c r="BS59" s="584"/>
      <c r="BT59" s="584"/>
      <c r="BU59" s="626"/>
      <c r="BX59" s="611"/>
      <c r="BY59" s="234"/>
      <c r="BZ59" s="234"/>
      <c r="CA59" s="612"/>
      <c r="CD59" s="381" t="str">
        <f>IF(BX58="","",VLOOKUP(BX58,シート⑤成績表!$C$11:$AE$75,29,FALSE))</f>
        <v/>
      </c>
      <c r="CE59" s="382" t="str">
        <f>IF(BY58="","",VLOOKUP(BY58,シート⑤成績表!$C$11:$AE$75,29,FALSE))</f>
        <v/>
      </c>
      <c r="CF59" s="382" t="str">
        <f>IF(BZ58="","",VLOOKUP(BZ58,シート⑤成績表!$C$11:$AE$75,29,FALSE))</f>
        <v/>
      </c>
      <c r="CG59" s="383" t="str">
        <f>IF(CA58="","",VLOOKUP(CA58,シート⑤成績表!$C$11:$AE$75,29,FALSE))</f>
        <v/>
      </c>
      <c r="CJ59" s="173" t="str">
        <f>IF(シート④スコア記入依頼用紙!F47="","",IF(シート④スコア記入依頼用紙!F47=0,"",シート④スコア記入依頼用紙!F47))</f>
        <v/>
      </c>
      <c r="CK59" s="196" t="str">
        <f>IF(シート④スコア記入依頼用紙!G47="","",IF(シート④スコア記入依頼用紙!G47=0,"",シート④スコア記入依頼用紙!G47))</f>
        <v/>
      </c>
      <c r="CL59" s="196" t="str">
        <f>IF(シート④スコア記入依頼用紙!H47="","",IF(シート④スコア記入依頼用紙!H47=0,"",シート④スコア記入依頼用紙!H47))</f>
        <v/>
      </c>
      <c r="CM59" s="604" t="str">
        <f>IF(シート④スコア記入依頼用紙!I47="","",IF(シート④スコア記入依頼用紙!I47=0,"",シート④スコア記入依頼用紙!I47))</f>
        <v/>
      </c>
      <c r="CN59" s="621">
        <f>SUM(CJ59:CM59)</f>
        <v>0</v>
      </c>
      <c r="CO59" s="23">
        <f t="shared" si="9"/>
        <v>48</v>
      </c>
      <c r="CP59" s="246" t="e">
        <f>IF($CP$6=1,CM34,IF($CP$6=2,CM60,""))</f>
        <v>#VALUE!</v>
      </c>
      <c r="CQ59" s="246" t="e">
        <f>IF($CP$6=1,CM35,IF($CP$6=2,CM61,""))</f>
        <v>#VALUE!</v>
      </c>
      <c r="CR59" s="110"/>
      <c r="CS59" s="246" t="str">
        <f>集計!B53</f>
        <v>村上</v>
      </c>
      <c r="CT59" s="584" t="str">
        <f t="shared" si="2"/>
        <v/>
      </c>
      <c r="CU59" s="545" t="e">
        <f t="shared" si="3"/>
        <v>#VALUE!</v>
      </c>
      <c r="CV59" s="585" t="str">
        <f t="shared" si="4"/>
        <v/>
      </c>
      <c r="CX59" s="545" t="e">
        <f>IF(INDEX(シート⑤成績表!$E$11:$W$75,ROW(CX59)-11,シート①入力画面!$CT$9)="","",INDEX(シート⑤成績表!$E$11:$W$75,ROW(CX59)-11,シート①入力画面!$CT$9))</f>
        <v>#VALUE!</v>
      </c>
      <c r="DC59" s="261"/>
    </row>
    <row r="60" spans="1:107" ht="16.5" customHeight="1" x14ac:dyDescent="0.15">
      <c r="AF60" s="15"/>
      <c r="AR60" s="261"/>
      <c r="AS60" s="319">
        <v>2</v>
      </c>
      <c r="AT60" s="320" t="s">
        <v>475</v>
      </c>
      <c r="BG60" s="173" t="str">
        <f>組合せﾃﾞｰﾀ!AD29</f>
        <v/>
      </c>
      <c r="BH60" s="196" t="str">
        <f>組合せﾃﾞｰﾀ!AE29</f>
        <v/>
      </c>
      <c r="BI60" s="196" t="str">
        <f>組合せﾃﾞｰﾀ!AF29</f>
        <v/>
      </c>
      <c r="BJ60" s="197" t="str">
        <f>組合せﾃﾞｰﾀ!AG29</f>
        <v/>
      </c>
      <c r="BL60" s="173" t="str">
        <f>組合せﾃﾞｰﾀ!AN29</f>
        <v/>
      </c>
      <c r="BM60" s="196" t="str">
        <f>組合せﾃﾞｰﾀ!AO29</f>
        <v/>
      </c>
      <c r="BN60" s="196" t="str">
        <f>組合せﾃﾞｰﾀ!AP29</f>
        <v/>
      </c>
      <c r="BO60" s="197" t="str">
        <f>組合せﾃﾞｰﾀ!AQ29</f>
        <v/>
      </c>
      <c r="BR60" s="479" t="str">
        <f>IF($BA$45=2,組合せﾃﾞｰﾀ!AN29,組合せﾃﾞｰﾀ!AD29)</f>
        <v/>
      </c>
      <c r="BS60" s="480" t="str">
        <f>IF($BA$45=2,組合せﾃﾞｰﾀ!AO29,組合せﾃﾞｰﾀ!AE29)</f>
        <v/>
      </c>
      <c r="BT60" s="480" t="str">
        <f>IF($BA$45=2,組合せﾃﾞｰﾀ!AP29,組合せﾃﾞｰﾀ!AF29)</f>
        <v/>
      </c>
      <c r="BU60" s="481" t="str">
        <f>IF($BA$45=2,組合せﾃﾞｰﾀ!AQ29,組合せﾃﾞｰﾀ!AG29)</f>
        <v/>
      </c>
      <c r="BX60" s="611" t="str">
        <f>IF(BR60="ｷｬﾝｾﾙ1","",IF(BR60="ｷｬﾝｾﾙ2","",IF(BR60="ｷｬﾝｾﾙ3","",IF(BR60="ｷｬﾝｾﾙ4","",IF(BR60="ｷｬﾝｾﾙ5","",IF(BR60="ｷｬﾝｾﾙ6","",IF(BR60="ｷｬﾝｾﾙ7","",IF(BR60="ｷｬﾝｾﾙ8","",IF(BR60="blank","",BR60)))))))))</f>
        <v/>
      </c>
      <c r="BY60" s="234" t="str">
        <f t="shared" ref="BY60" si="105">IF(BS60="ｷｬﾝｾﾙ1","",IF(BS60="ｷｬﾝｾﾙ2","",IF(BS60="ｷｬﾝｾﾙ3","",IF(BS60="ｷｬﾝｾﾙ4","",IF(BS60="ｷｬﾝｾﾙ5","",IF(BS60="ｷｬﾝｾﾙ6","",IF(BS60="ｷｬﾝｾﾙ7","",IF(BS60="ｷｬﾝｾﾙ8","",IF(BS60="blank","",BS60)))))))))</f>
        <v/>
      </c>
      <c r="BZ60" s="234" t="str">
        <f t="shared" ref="BZ60" si="106">IF(BT60="ｷｬﾝｾﾙ1","",IF(BT60="ｷｬﾝｾﾙ2","",IF(BT60="ｷｬﾝｾﾙ3","",IF(BT60="ｷｬﾝｾﾙ4","",IF(BT60="ｷｬﾝｾﾙ5","",IF(BT60="ｷｬﾝｾﾙ6","",IF(BT60="ｷｬﾝｾﾙ7","",IF(BT60="ｷｬﾝｾﾙ8","",IF(BT60="blank","",BT60)))))))))</f>
        <v/>
      </c>
      <c r="CA60" s="612" t="str">
        <f t="shared" ref="CA60" si="107">IF(BU60="ｷｬﾝｾﾙ1","",IF(BU60="ｷｬﾝｾﾙ2","",IF(BU60="ｷｬﾝｾﾙ3","",IF(BU60="ｷｬﾝｾﾙ4","",IF(BU60="ｷｬﾝｾﾙ5","",IF(BU60="ｷｬﾝｾﾙ6","",IF(BU60="ｷｬﾝｾﾙ7","",IF(BU60="ｷｬﾝｾﾙ8","",IF(BU60="blank","",BU60)))))))))</f>
        <v/>
      </c>
      <c r="CD60" s="378" t="str">
        <f>IF(BX60="","",VLOOKUP(BX60,シート⑤成績表!$C$11:$AE$75,22,FALSE))</f>
        <v/>
      </c>
      <c r="CE60" s="379" t="str">
        <f>IF(BY60="","",VLOOKUP(BY60,シート⑤成績表!$C$11:$AE$75,22,FALSE))</f>
        <v/>
      </c>
      <c r="CF60" s="379" t="str">
        <f>IF(BZ60="","",VLOOKUP(BZ60,シート⑤成績表!$C$11:$AE$75,22,FALSE))</f>
        <v/>
      </c>
      <c r="CG60" s="380" t="str">
        <f>IF(CA60="","",VLOOKUP(CA60,シート⑤成績表!$C$11:$AE$75,22,FALSE))</f>
        <v/>
      </c>
      <c r="CJ60" s="611" t="str">
        <f t="shared" ref="CJ60" si="108">BX60</f>
        <v/>
      </c>
      <c r="CK60" s="234" t="str">
        <f t="shared" ref="CK60" si="109">BY60</f>
        <v/>
      </c>
      <c r="CL60" s="234" t="str">
        <f t="shared" ref="CL60" si="110">BZ60</f>
        <v/>
      </c>
      <c r="CM60" s="612" t="str">
        <f t="shared" ref="CM60" si="111">CA60</f>
        <v/>
      </c>
      <c r="CN60" s="172"/>
      <c r="CQ60" s="111"/>
      <c r="CR60" s="111"/>
      <c r="CS60" s="246" t="str">
        <f>集計!B54</f>
        <v>森</v>
      </c>
      <c r="CT60" s="584" t="str">
        <f t="shared" si="2"/>
        <v/>
      </c>
      <c r="CU60" s="545" t="e">
        <f t="shared" si="3"/>
        <v>#VALUE!</v>
      </c>
      <c r="CV60" s="585" t="str">
        <f t="shared" si="4"/>
        <v/>
      </c>
      <c r="CX60" s="545" t="e">
        <f>IF(INDEX(シート⑤成績表!$E$11:$W$75,ROW(CX60)-11,シート①入力画面!$CT$9)="","",INDEX(シート⑤成績表!$E$11:$W$75,ROW(CX60)-11,シート①入力画面!$CT$9))</f>
        <v>#VALUE!</v>
      </c>
      <c r="DC60" s="261"/>
    </row>
    <row r="61" spans="1:107" ht="16.5" customHeight="1" thickBot="1" x14ac:dyDescent="0.2">
      <c r="AF61" s="15"/>
      <c r="AR61" s="261"/>
      <c r="AS61" s="177"/>
      <c r="AT61" s="177" t="str">
        <f>""</f>
        <v/>
      </c>
      <c r="BG61" s="199"/>
      <c r="BH61" s="200"/>
      <c r="BI61" s="200"/>
      <c r="BJ61" s="201"/>
      <c r="BL61" s="606"/>
      <c r="BM61" s="607"/>
      <c r="BN61" s="607"/>
      <c r="BO61" s="608"/>
      <c r="BR61" s="586"/>
      <c r="BS61" s="587"/>
      <c r="BT61" s="587"/>
      <c r="BU61" s="588"/>
      <c r="BX61" s="592"/>
      <c r="BY61" s="593"/>
      <c r="BZ61" s="593"/>
      <c r="CA61" s="594"/>
      <c r="CD61" s="381" t="str">
        <f>IF(BX60="","",VLOOKUP(BX60,シート⑤成績表!$C$11:$AE$75,29,FALSE))</f>
        <v/>
      </c>
      <c r="CE61" s="382" t="str">
        <f>IF(BY60="","",VLOOKUP(BY60,シート⑤成績表!$C$11:$AE$75,29,FALSE))</f>
        <v/>
      </c>
      <c r="CF61" s="382" t="str">
        <f>IF(BZ60="","",VLOOKUP(BZ60,シート⑤成績表!$C$11:$AE$75,29,FALSE))</f>
        <v/>
      </c>
      <c r="CG61" s="383" t="str">
        <f>IF(CA60="","",VLOOKUP(CA60,シート⑤成績表!$C$11:$AE$75,29,FALSE))</f>
        <v/>
      </c>
      <c r="CJ61" s="618" t="str">
        <f>IF(シート④スコア記入依頼用紙!F50="","",IF(シート④スコア記入依頼用紙!F50=0,"",シート④スコア記入依頼用紙!F50))</f>
        <v/>
      </c>
      <c r="CK61" s="619" t="str">
        <f>IF(シート④スコア記入依頼用紙!G50="","",IF(シート④スコア記入依頼用紙!G50=0,"",シート④スコア記入依頼用紙!G50))</f>
        <v/>
      </c>
      <c r="CL61" s="619" t="str">
        <f>IF(シート④スコア記入依頼用紙!H50="","",IF(シート④スコア記入依頼用紙!H50=0,"",シート④スコア記入依頼用紙!H50))</f>
        <v/>
      </c>
      <c r="CM61" s="620" t="str">
        <f>IF(シート④スコア記入依頼用紙!I50="","",IF(シート④スコア記入依頼用紙!I50=0,"",シート④スコア記入依頼用紙!I50))</f>
        <v/>
      </c>
      <c r="CN61" s="173">
        <f>SUM(CJ61:CM61)</f>
        <v>0</v>
      </c>
      <c r="CQ61" s="110"/>
      <c r="CR61" s="110"/>
      <c r="CS61" s="246" t="str">
        <f>集計!B55</f>
        <v>山中</v>
      </c>
      <c r="CT61" s="584" t="str">
        <f t="shared" si="2"/>
        <v/>
      </c>
      <c r="CU61" s="545" t="e">
        <f t="shared" si="3"/>
        <v>#VALUE!</v>
      </c>
      <c r="CV61" s="585" t="str">
        <f t="shared" si="4"/>
        <v/>
      </c>
      <c r="CX61" s="545" t="e">
        <f>IF(INDEX(シート⑤成績表!$E$11:$W$75,ROW(CX61)-11,シート①入力画面!$CT$9)="","",INDEX(シート⑤成績表!$E$11:$W$75,ROW(CX61)-11,シート①入力画面!$CT$9))</f>
        <v>#VALUE!</v>
      </c>
      <c r="DC61" s="261"/>
    </row>
    <row r="62" spans="1:107" ht="16.5" customHeight="1" thickBot="1" x14ac:dyDescent="0.2">
      <c r="AF62" s="15"/>
      <c r="AR62" s="261"/>
      <c r="AS62" s="177"/>
      <c r="AT62" s="177" t="str">
        <f>""</f>
        <v/>
      </c>
      <c r="BD62" s="96"/>
      <c r="BG62" s="96"/>
      <c r="BH62" s="96"/>
      <c r="BL62" s="23"/>
      <c r="BM62" s="160"/>
      <c r="BN62" s="145"/>
      <c r="BO62" s="527"/>
      <c r="BP62" s="527" t="s">
        <v>472</v>
      </c>
      <c r="BQ62" s="160"/>
      <c r="BR62" s="99"/>
      <c r="BS62" s="99"/>
      <c r="BT62" s="99"/>
      <c r="BU62" s="99" t="s">
        <v>473</v>
      </c>
      <c r="BZ62" s="95" t="s">
        <v>225</v>
      </c>
      <c r="CA62" s="613">
        <f>96-COUNTBLANK($BX$38:$CA$61)</f>
        <v>0</v>
      </c>
      <c r="CL62" s="95" t="s">
        <v>468</v>
      </c>
      <c r="CM62" s="617">
        <f>SUM(CN39:CN61)</f>
        <v>0</v>
      </c>
      <c r="CS62" s="246" t="str">
        <f>集計!B56</f>
        <v>湯浅</v>
      </c>
      <c r="CT62" s="584" t="str">
        <f t="shared" si="2"/>
        <v/>
      </c>
      <c r="CU62" s="545" t="e">
        <f t="shared" si="3"/>
        <v>#VALUE!</v>
      </c>
      <c r="CV62" s="585" t="str">
        <f t="shared" si="4"/>
        <v/>
      </c>
      <c r="CX62" s="545" t="e">
        <f>IF(INDEX(シート⑤成績表!$E$11:$W$75,ROW(CX62)-11,シート①入力画面!$CT$9)="","",INDEX(シート⑤成績表!$E$11:$W$75,ROW(CX62)-11,シート①入力画面!$CT$9))</f>
        <v>#VALUE!</v>
      </c>
      <c r="DC62" s="261"/>
    </row>
    <row r="63" spans="1:107" ht="16.5" customHeight="1" x14ac:dyDescent="0.15">
      <c r="AF63" s="15"/>
      <c r="AR63" s="261"/>
      <c r="AS63" s="177"/>
      <c r="AT63" s="177" t="str">
        <f>""</f>
        <v/>
      </c>
      <c r="BD63" s="96"/>
      <c r="BG63" s="96"/>
      <c r="BH63" s="96"/>
      <c r="BJ63" s="96"/>
      <c r="BL63" s="23"/>
      <c r="BM63" s="160"/>
      <c r="BN63" s="145"/>
      <c r="CJ63" s="23" t="s">
        <v>410</v>
      </c>
      <c r="CS63" s="246" t="str">
        <f>集計!B57</f>
        <v>横山</v>
      </c>
      <c r="CT63" s="584" t="str">
        <f t="shared" si="2"/>
        <v/>
      </c>
      <c r="CU63" s="545" t="e">
        <f t="shared" si="3"/>
        <v>#VALUE!</v>
      </c>
      <c r="CV63" s="585" t="str">
        <f t="shared" si="4"/>
        <v/>
      </c>
      <c r="CX63" s="545" t="e">
        <f>IF(INDEX(シート⑤成績表!$E$11:$W$75,ROW(CX63)-11,シート①入力画面!$CT$9)="","",INDEX(シート⑤成績表!$E$11:$W$75,ROW(CX63)-11,シート①入力画面!$CT$9))</f>
        <v>#VALUE!</v>
      </c>
      <c r="DC63" s="261"/>
    </row>
    <row r="64" spans="1:107" ht="16.5" customHeight="1" x14ac:dyDescent="0.15">
      <c r="AF64" s="15"/>
      <c r="AR64" s="261"/>
      <c r="AY64" s="160"/>
      <c r="BD64" s="96"/>
      <c r="BE64" s="160"/>
      <c r="BG64" s="96"/>
      <c r="BH64" s="96"/>
      <c r="BJ64" s="96"/>
      <c r="BL64" s="23"/>
      <c r="BM64" s="160"/>
      <c r="BN64" s="145"/>
      <c r="BP64" s="160"/>
      <c r="CJ64" s="23" t="s">
        <v>408</v>
      </c>
      <c r="CQ64" s="211"/>
      <c r="CS64" s="246" t="str">
        <f>集計!B58</f>
        <v>吉澤</v>
      </c>
      <c r="CT64" s="584" t="str">
        <f t="shared" si="2"/>
        <v/>
      </c>
      <c r="CU64" s="545" t="e">
        <f t="shared" si="3"/>
        <v>#VALUE!</v>
      </c>
      <c r="CV64" s="585" t="str">
        <f t="shared" si="4"/>
        <v/>
      </c>
      <c r="CX64" s="545" t="e">
        <f>IF(INDEX(シート⑤成績表!$E$11:$W$75,ROW(CX64)-11,シート①入力画面!$CT$9)="","",INDEX(シート⑤成績表!$E$11:$W$75,ROW(CX64)-11,シート①入力画面!$CT$9))</f>
        <v>#VALUE!</v>
      </c>
      <c r="DC64" s="261"/>
    </row>
    <row r="65" spans="15:107" ht="17.25" customHeight="1" thickBot="1" x14ac:dyDescent="0.2">
      <c r="O65" s="488" t="s">
        <v>96</v>
      </c>
      <c r="P65"/>
      <c r="Q65"/>
      <c r="R65"/>
      <c r="S65" s="108"/>
      <c r="U65" s="108"/>
      <c r="V65" s="15"/>
      <c r="W65" s="15"/>
      <c r="X65" s="15"/>
      <c r="Y65" s="15"/>
      <c r="Z65"/>
      <c r="AC65" s="138"/>
      <c r="AF65" s="15"/>
      <c r="AH65"/>
      <c r="AI65" s="108"/>
      <c r="AJ65" s="15"/>
      <c r="AK65"/>
      <c r="AN65" s="15"/>
      <c r="AO65" s="109"/>
      <c r="AR65" s="261"/>
      <c r="AS65" s="259"/>
      <c r="AT65" s="489" t="s">
        <v>248</v>
      </c>
      <c r="AY65" s="212"/>
      <c r="AZ65" s="185"/>
      <c r="BA65" s="213" t="s">
        <v>164</v>
      </c>
      <c r="BB65" s="213"/>
      <c r="BC65" s="179"/>
      <c r="BD65" s="163"/>
      <c r="BE65" s="213" t="s">
        <v>158</v>
      </c>
      <c r="BF65" s="213"/>
      <c r="BG65" s="215" t="s">
        <v>166</v>
      </c>
      <c r="BH65" s="163"/>
      <c r="BI65" s="179"/>
      <c r="BJ65" s="213" t="s">
        <v>171</v>
      </c>
      <c r="BK65" s="215" t="s">
        <v>173</v>
      </c>
      <c r="BL65" s="179"/>
      <c r="BM65" s="210"/>
      <c r="BN65" s="216"/>
      <c r="BO65" s="214" t="s">
        <v>175</v>
      </c>
      <c r="BP65" s="217"/>
      <c r="BQ65" s="179"/>
      <c r="BR65" s="179"/>
      <c r="BS65" s="213" t="s">
        <v>176</v>
      </c>
      <c r="BT65" s="210"/>
      <c r="BU65" s="210"/>
      <c r="BV65" s="213" t="s">
        <v>177</v>
      </c>
      <c r="BW65" s="213"/>
      <c r="CQ65" s="211"/>
      <c r="CS65" s="246" t="str">
        <f>集計!B59</f>
        <v>吉田</v>
      </c>
      <c r="CT65" s="584" t="str">
        <f t="shared" si="2"/>
        <v/>
      </c>
      <c r="CU65" s="545" t="e">
        <f t="shared" si="3"/>
        <v>#VALUE!</v>
      </c>
      <c r="CV65" s="585" t="str">
        <f t="shared" si="4"/>
        <v/>
      </c>
      <c r="CW65" s="96"/>
      <c r="CX65" s="545" t="e">
        <f>IF(INDEX(シート⑤成績表!$E$11:$W$75,ROW(CX65)-11,シート①入力画面!$CT$9)="","",INDEX(シート⑤成績表!$E$11:$W$75,ROW(CX65)-11,シート①入力画面!$CT$9))</f>
        <v>#VALUE!</v>
      </c>
      <c r="DC65" s="261"/>
    </row>
    <row r="66" spans="15:107" ht="17.25" customHeight="1" x14ac:dyDescent="0.15">
      <c r="Q66" s="165" t="s">
        <v>97</v>
      </c>
      <c r="R66" s="23"/>
      <c r="V66" s="165"/>
      <c r="W66" s="165"/>
      <c r="X66" s="15"/>
      <c r="Y66" s="15"/>
      <c r="Z66"/>
      <c r="AC66" s="138"/>
      <c r="AF66" s="15"/>
      <c r="AG66" s="23"/>
      <c r="AO66" s="110"/>
      <c r="AP66" s="111"/>
      <c r="AR66" s="261"/>
      <c r="AS66" s="254" t="s">
        <v>249</v>
      </c>
      <c r="AT66" s="463" t="s">
        <v>234</v>
      </c>
      <c r="AY66" s="160"/>
      <c r="AZ66" s="178"/>
      <c r="BA66" s="211"/>
      <c r="BB66" s="272" t="s">
        <v>245</v>
      </c>
      <c r="BC66" s="211"/>
      <c r="BD66" s="163"/>
      <c r="BE66" s="162" t="s">
        <v>213</v>
      </c>
      <c r="BF66" s="179"/>
      <c r="BG66" s="163" t="s">
        <v>167</v>
      </c>
      <c r="BH66" s="163"/>
      <c r="BI66" s="210"/>
      <c r="BJ66" s="209" t="s">
        <v>214</v>
      </c>
      <c r="BK66" s="163" t="s">
        <v>174</v>
      </c>
      <c r="BL66" s="179"/>
      <c r="BM66" s="210"/>
      <c r="BN66" s="162" t="s">
        <v>215</v>
      </c>
      <c r="BP66" s="179"/>
      <c r="BQ66" s="179"/>
      <c r="BR66" s="179"/>
      <c r="BS66" s="110" t="s">
        <v>218</v>
      </c>
      <c r="BT66" s="210"/>
      <c r="BU66" s="210"/>
      <c r="BV66" s="179"/>
      <c r="BW66" s="179"/>
      <c r="CM66" s="274"/>
      <c r="CN66" s="275"/>
      <c r="CO66" s="569" t="s">
        <v>225</v>
      </c>
      <c r="CP66" s="276" t="str">
        <f>CA62&amp;" 名"</f>
        <v>0 名</v>
      </c>
      <c r="CQ66" s="95"/>
      <c r="CS66" s="246" t="str">
        <f>集計!B60</f>
        <v>渡辺昭</v>
      </c>
      <c r="CT66" s="584" t="str">
        <f t="shared" si="2"/>
        <v/>
      </c>
      <c r="CU66" s="545" t="e">
        <f t="shared" si="3"/>
        <v>#VALUE!</v>
      </c>
      <c r="CV66" s="585" t="str">
        <f t="shared" si="4"/>
        <v/>
      </c>
      <c r="CW66" s="96"/>
      <c r="CX66" s="545" t="e">
        <f>IF(INDEX(シート⑤成績表!$E$11:$W$75,ROW(CX66)-11,シート①入力画面!$CT$9)="","",INDEX(シート⑤成績表!$E$11:$W$75,ROW(CX66)-11,シート①入力画面!$CT$9))</f>
        <v>#VALUE!</v>
      </c>
      <c r="DC66" s="261"/>
    </row>
    <row r="67" spans="15:107" ht="17.25" customHeight="1" x14ac:dyDescent="0.15">
      <c r="Q67" s="165" t="s">
        <v>104</v>
      </c>
      <c r="R67" s="23"/>
      <c r="S67" s="96"/>
      <c r="U67" s="96"/>
      <c r="W67" s="23"/>
      <c r="X67" s="15"/>
      <c r="Y67" s="15"/>
      <c r="Z67"/>
      <c r="AF67" s="15"/>
      <c r="AG67" s="23"/>
      <c r="AO67" s="95"/>
      <c r="AP67" s="166"/>
      <c r="AQ67" s="163"/>
      <c r="AR67" s="261"/>
      <c r="AS67" s="254"/>
      <c r="AT67" s="464" t="s">
        <v>282</v>
      </c>
      <c r="AY67" s="23" t="s">
        <v>78</v>
      </c>
      <c r="BA67" s="179" t="s">
        <v>123</v>
      </c>
      <c r="BB67" s="179"/>
      <c r="BC67" s="179"/>
      <c r="BD67" s="179"/>
      <c r="BE67" s="179"/>
      <c r="BF67" s="179"/>
      <c r="BG67" s="162" t="s">
        <v>170</v>
      </c>
      <c r="BH67" s="163"/>
      <c r="BI67" s="179"/>
      <c r="BJ67" s="209" t="s">
        <v>172</v>
      </c>
      <c r="BK67" s="162" t="s">
        <v>170</v>
      </c>
      <c r="BL67" s="179"/>
      <c r="BM67" s="179"/>
      <c r="BN67" s="162" t="s">
        <v>216</v>
      </c>
      <c r="BP67" s="179"/>
      <c r="BQ67" s="179"/>
      <c r="BR67" s="179"/>
      <c r="BS67" s="110" t="s">
        <v>219</v>
      </c>
      <c r="BT67" s="179"/>
      <c r="BV67" s="162" t="s">
        <v>124</v>
      </c>
      <c r="CM67" s="277"/>
      <c r="CN67" s="96"/>
      <c r="CO67" s="539" t="s">
        <v>226</v>
      </c>
      <c r="CP67" s="278" t="str">
        <f>COUNT($CQ$12:$CQ$59)&amp;" 名"</f>
        <v>0 名</v>
      </c>
      <c r="CQ67" s="184"/>
      <c r="CS67" s="246" t="str">
        <f>集計!B61</f>
        <v>渡辺政</v>
      </c>
      <c r="CT67" s="584" t="str">
        <f t="shared" si="2"/>
        <v/>
      </c>
      <c r="CU67" s="545" t="e">
        <f t="shared" si="3"/>
        <v>#VALUE!</v>
      </c>
      <c r="CV67" s="585" t="str">
        <f t="shared" si="4"/>
        <v/>
      </c>
      <c r="CW67" s="96"/>
      <c r="CX67" s="545" t="e">
        <f>IF(INDEX(シート⑤成績表!$E$11:$W$75,ROW(CX67)-11,シート①入力画面!$CT$9)="","",INDEX(シート⑤成績表!$E$11:$W$75,ROW(CX67)-11,シート①入力画面!$CT$9))</f>
        <v>#VALUE!</v>
      </c>
      <c r="DC67" s="261"/>
    </row>
    <row r="68" spans="15:107" ht="17.25" customHeight="1" thickBot="1" x14ac:dyDescent="0.2">
      <c r="Q68" s="23"/>
      <c r="R68" s="23"/>
      <c r="V68" s="96"/>
      <c r="X68" s="15"/>
      <c r="Y68" s="15"/>
      <c r="Z68" s="96"/>
      <c r="AF68" s="15"/>
      <c r="AO68" s="95"/>
      <c r="AP68" s="96"/>
      <c r="AQ68" s="163"/>
      <c r="AR68" s="261"/>
      <c r="AS68" s="288"/>
      <c r="AT68" s="464" t="s">
        <v>484</v>
      </c>
      <c r="AY68" s="179" t="s">
        <v>246</v>
      </c>
      <c r="AZ68" s="23" t="s">
        <v>246</v>
      </c>
      <c r="BA68" s="179" t="s">
        <v>157</v>
      </c>
      <c r="BB68" s="179"/>
      <c r="BC68" s="179" t="s">
        <v>246</v>
      </c>
      <c r="BD68" s="179"/>
      <c r="BE68" s="179"/>
      <c r="BF68" s="179"/>
      <c r="BG68" s="179" t="s">
        <v>168</v>
      </c>
      <c r="BH68" s="179"/>
      <c r="BI68" s="179"/>
      <c r="BK68" s="179" t="s">
        <v>168</v>
      </c>
      <c r="BL68" s="179"/>
      <c r="BM68" s="179"/>
      <c r="BN68" s="162" t="s">
        <v>217</v>
      </c>
      <c r="BO68" s="179"/>
      <c r="BP68" s="179"/>
      <c r="BQ68" s="179"/>
      <c r="BR68" s="179"/>
      <c r="BS68" s="110" t="s">
        <v>220</v>
      </c>
      <c r="BT68" s="179"/>
      <c r="BV68" s="241" t="s">
        <v>479</v>
      </c>
      <c r="BW68" s="253"/>
      <c r="CK68" s="95" t="s">
        <v>549</v>
      </c>
      <c r="CL68" s="99"/>
      <c r="CM68" s="279"/>
      <c r="CN68" s="102"/>
      <c r="CO68" s="570" t="s">
        <v>343</v>
      </c>
      <c r="CP68" s="280" t="e">
        <f>SUM(CU12:CU76)</f>
        <v>#VALUE!</v>
      </c>
      <c r="CQ68" s="23" t="s">
        <v>598</v>
      </c>
      <c r="CS68" s="246" t="str">
        <f>集計!B62</f>
        <v>村中</v>
      </c>
      <c r="CT68" s="584" t="str">
        <f t="shared" si="2"/>
        <v/>
      </c>
      <c r="CU68" s="545" t="e">
        <f t="shared" si="3"/>
        <v>#VALUE!</v>
      </c>
      <c r="CV68" s="585" t="str">
        <f t="shared" si="4"/>
        <v/>
      </c>
      <c r="CW68" s="96"/>
      <c r="CX68" s="545" t="e">
        <f>IF(INDEX(シート⑤成績表!$E$11:$W$75,ROW(CX68)-11,シート①入力画面!$CT$9)="","",INDEX(シート⑤成績表!$E$11:$W$75,ROW(CX68)-11,シート①入力画面!$CT$9))</f>
        <v>#VALUE!</v>
      </c>
      <c r="DC68" s="261"/>
    </row>
    <row r="69" spans="15:107" ht="17.25" customHeight="1" x14ac:dyDescent="0.15">
      <c r="Q69" s="165" t="s">
        <v>98</v>
      </c>
      <c r="R69" s="23"/>
      <c r="V69" s="96"/>
      <c r="X69" s="15"/>
      <c r="Y69" s="15"/>
      <c r="Z69" s="96"/>
      <c r="AA69" s="165"/>
      <c r="AF69" s="15"/>
      <c r="AR69" s="261"/>
      <c r="AS69" s="288"/>
      <c r="AT69" s="464" t="s">
        <v>494</v>
      </c>
      <c r="AY69" s="95" t="s">
        <v>211</v>
      </c>
      <c r="AZ69" s="209" t="s">
        <v>212</v>
      </c>
      <c r="BA69" s="209" t="s">
        <v>208</v>
      </c>
      <c r="BB69" s="271" t="s">
        <v>209</v>
      </c>
      <c r="BC69" s="232" t="s">
        <v>210</v>
      </c>
      <c r="BD69" s="179"/>
      <c r="BE69" s="179"/>
      <c r="BF69" s="179"/>
      <c r="BG69" s="179" t="s">
        <v>169</v>
      </c>
      <c r="BH69" s="179"/>
      <c r="BI69" s="179"/>
      <c r="BJ69" s="179"/>
      <c r="BK69" s="179" t="s">
        <v>169</v>
      </c>
      <c r="BL69" s="179"/>
      <c r="BM69" s="179"/>
      <c r="BN69" s="163"/>
      <c r="BO69" s="179"/>
      <c r="BP69" s="179"/>
      <c r="BQ69" s="179"/>
      <c r="BR69" s="179"/>
      <c r="BT69" s="179"/>
      <c r="BU69" s="535" t="s">
        <v>480</v>
      </c>
      <c r="BV69" s="535"/>
      <c r="BW69" s="536"/>
      <c r="BX69" s="534"/>
      <c r="CL69" s="99"/>
      <c r="CS69" s="246" t="str">
        <f>集計!B63</f>
        <v>奈良</v>
      </c>
      <c r="CT69" s="584" t="str">
        <f t="shared" si="2"/>
        <v/>
      </c>
      <c r="CU69" s="545" t="e">
        <f t="shared" si="3"/>
        <v>#VALUE!</v>
      </c>
      <c r="CV69" s="585" t="str">
        <f t="shared" si="4"/>
        <v/>
      </c>
      <c r="CW69" s="96"/>
      <c r="CX69" s="545" t="e">
        <f>IF(INDEX(シート⑤成績表!$E$11:$W$75,ROW(CX69)-11,シート①入力画面!$CT$9)="","",INDEX(シート⑤成績表!$E$11:$W$75,ROW(CX69)-11,シート①入力画面!$CT$9))</f>
        <v>#VALUE!</v>
      </c>
      <c r="CY69" s="138"/>
      <c r="DC69" s="261"/>
    </row>
    <row r="70" spans="15:107" ht="17.25" customHeight="1" x14ac:dyDescent="0.15">
      <c r="Q70" s="165"/>
      <c r="R70" s="23"/>
      <c r="S70" s="23" t="s">
        <v>99</v>
      </c>
      <c r="V70" s="96"/>
      <c r="X70" s="23"/>
      <c r="Y70" s="23"/>
      <c r="Z70" s="96"/>
      <c r="AF70" s="15"/>
      <c r="AJ70" s="23" t="s">
        <v>506</v>
      </c>
      <c r="AR70" s="261"/>
      <c r="AS70" s="254"/>
      <c r="AT70" s="464" t="s">
        <v>521</v>
      </c>
      <c r="AY70" s="196">
        <f t="shared" ref="AY70:AY109" si="112">IF(ISERROR(BA70),"",BA70)</f>
        <v>1</v>
      </c>
      <c r="AZ70" s="196" t="str">
        <f>BC70</f>
        <v xml:space="preserve"> --</v>
      </c>
      <c r="BA70" s="196">
        <f>BL12</f>
        <v>1</v>
      </c>
      <c r="BB70" s="177" t="str">
        <f>BR12</f>
        <v xml:space="preserve"> --</v>
      </c>
      <c r="BC70" s="23" t="str">
        <f t="shared" ref="BC70:BC117" si="113">IF(BA70&gt;$BC$127,"",BB70)</f>
        <v xml:space="preserve"> --</v>
      </c>
      <c r="BE70" s="204">
        <v>1</v>
      </c>
      <c r="BF70" s="196" t="s">
        <v>289</v>
      </c>
      <c r="BG70" s="224" t="str">
        <f>IF(BF70="","",IF($BA$45=1,IF(ISNA(VLOOKUP(BF70,組合せﾃﾞｰﾀ!$AU$7:$AV$54,2,FALSE)),BF70,VLOOKUP(BF70,組合せﾃﾞｰﾀ!$AU$7:$AV$54,2,FALSE)),BF70))</f>
        <v xml:space="preserve"> --</v>
      </c>
      <c r="BI70" s="179"/>
      <c r="BJ70" s="196" t="s">
        <v>291</v>
      </c>
      <c r="BK70" s="224" t="str">
        <f>IF($BA$45=1,IF(ISNA(VLOOKUP(BJ70,組合せﾃﾞｰﾀ!$AU$7:$AV$54,2,FALSE)),BJ70,VLOOKUP(BJ70,組合せﾃﾞｰﾀ!$AU$7:$AV$54,2,FALSE)),BJ70)</f>
        <v xml:space="preserve"> --</v>
      </c>
      <c r="BL70" s="23"/>
      <c r="BN70" s="205">
        <v>1</v>
      </c>
      <c r="BO70" s="206" t="str">
        <f t="shared" ref="BO70:BO101" si="114">IF($AY$45=1,$BF70,$BJ70)</f>
        <v xml:space="preserve"> --</v>
      </c>
      <c r="BP70" s="206" t="str">
        <f t="shared" ref="BP70" si="115">IF($AY$45=1,$BG70,$BK70)</f>
        <v xml:space="preserve"> --</v>
      </c>
      <c r="BR70" s="96">
        <v>1</v>
      </c>
      <c r="BS70" s="206" t="str">
        <f t="shared" ref="BS70:BS101" si="116">IF(ISNA($BP70)," --",$BP70)</f>
        <v xml:space="preserve"> --</v>
      </c>
      <c r="BU70" s="522">
        <f>IF($BC$45=1,BV70,BU70)</f>
        <v>1</v>
      </c>
      <c r="BV70" s="196">
        <f>AZ12</f>
        <v>1</v>
      </c>
      <c r="BW70" s="530" t="str">
        <f>IF(BV70=$BC$127+1,ROW(BV70)/100,IF(ISNA(VLOOKUP(BV70,$BN$70:$BO$135,2,FALSE)),"",IF($BC$45=1,VLOOKUP(BV70,$BN$70:$BO$135,2,FALSE),VLOOKUP(BV70,$BN$70:$BP$135,3,FALSE))))</f>
        <v xml:space="preserve"> --</v>
      </c>
      <c r="BX70" s="522">
        <f>BV70-BU70</f>
        <v>0</v>
      </c>
      <c r="BY70" s="429"/>
      <c r="BZ70" s="534" t="s">
        <v>481</v>
      </c>
      <c r="CA70" s="534"/>
      <c r="CB70" s="534"/>
      <c r="CC70" s="534"/>
      <c r="CD70" s="534"/>
      <c r="CE70" s="534"/>
      <c r="CF70" s="534"/>
      <c r="CO70" s="95" t="s">
        <v>518</v>
      </c>
      <c r="CP70" s="23" t="e">
        <f>CX78</f>
        <v>#VALUE!</v>
      </c>
      <c r="CS70" s="246" t="str">
        <f>集計!B64</f>
        <v/>
      </c>
      <c r="CT70" s="584" t="str">
        <f t="shared" si="2"/>
        <v/>
      </c>
      <c r="CU70" s="545" t="e">
        <f t="shared" si="3"/>
        <v>#VALUE!</v>
      </c>
      <c r="CV70" s="585" t="str">
        <f t="shared" si="4"/>
        <v/>
      </c>
      <c r="CW70" s="96"/>
      <c r="CX70" s="545" t="e">
        <f>IF(INDEX(シート⑤成績表!$E$11:$W$75,ROW(CX70)-11,シート①入力画面!$CT$9)="","",INDEX(シート⑤成績表!$E$11:$W$75,ROW(CX70)-11,シート①入力画面!$CT$9))</f>
        <v>#VALUE!</v>
      </c>
      <c r="CY70" s="138"/>
      <c r="DC70" s="261"/>
    </row>
    <row r="71" spans="15:107" ht="17.25" customHeight="1" x14ac:dyDescent="0.15">
      <c r="Q71" s="165"/>
      <c r="R71" s="23"/>
      <c r="S71" s="23" t="s">
        <v>100</v>
      </c>
      <c r="V71" s="96"/>
      <c r="X71" s="23"/>
      <c r="Y71" s="23"/>
      <c r="Z71" s="96"/>
      <c r="AF71" s="15"/>
      <c r="AR71" s="261"/>
      <c r="AS71" s="254"/>
      <c r="AT71" s="319" t="s">
        <v>495</v>
      </c>
      <c r="AY71" s="203">
        <f t="shared" si="112"/>
        <v>1</v>
      </c>
      <c r="AZ71" s="196" t="str">
        <f t="shared" ref="AZ71:AZ109" si="117">BC71</f>
        <v xml:space="preserve"> --</v>
      </c>
      <c r="BA71" s="196">
        <f>BM12</f>
        <v>1</v>
      </c>
      <c r="BB71" s="177" t="str">
        <f>BS12</f>
        <v xml:space="preserve"> --</v>
      </c>
      <c r="BC71" s="23" t="str">
        <f t="shared" si="113"/>
        <v xml:space="preserve"> --</v>
      </c>
      <c r="BE71" s="204">
        <v>2</v>
      </c>
      <c r="BF71" s="196" t="str">
        <f>IF(集計!B6="","",集計!B6)</f>
        <v>安藤</v>
      </c>
      <c r="BG71" s="224" t="str">
        <f>IF(BF71="","",IF($BA$45=1,IF(ISNA(VLOOKUP(BF71,組合せﾃﾞｰﾀ!$AU$7:$AV$54,2,FALSE)),BF71,VLOOKUP(BF71,組合せﾃﾞｰﾀ!$AU$7:$AV$54,2,FALSE)),BF71))</f>
        <v>安藤</v>
      </c>
      <c r="BI71" s="179"/>
      <c r="BJ71" s="196" t="str">
        <f>組合せﾃﾞｰﾀ!$I6</f>
        <v>安藤</v>
      </c>
      <c r="BK71" s="224" t="str">
        <f>IF($BA$45=1,IF(ISNA(VLOOKUP(BJ71,組合せﾃﾞｰﾀ!$AU$7:$AV$54,2,FALSE)),BJ71,VLOOKUP(BJ71,組合せﾃﾞｰﾀ!$AU$7:$AV$54,2,FALSE)),BJ71)</f>
        <v>安藤</v>
      </c>
      <c r="BL71" s="23"/>
      <c r="BN71" s="205">
        <v>2</v>
      </c>
      <c r="BO71" s="524" t="str">
        <f t="shared" si="114"/>
        <v>安藤</v>
      </c>
      <c r="BP71" s="524" t="str">
        <f>IF($BC$45=1,IF($AY$45=1,$BG71,$BK71),BP71)</f>
        <v>安藤</v>
      </c>
      <c r="BR71" s="96">
        <v>2</v>
      </c>
      <c r="BS71" s="206" t="str">
        <f t="shared" si="116"/>
        <v>安藤</v>
      </c>
      <c r="BU71" s="522">
        <f t="shared" ref="BU71:BU117" si="118">IF($BC$45=1,BV71,BU71)</f>
        <v>1</v>
      </c>
      <c r="BV71" s="196">
        <f>BA12</f>
        <v>1</v>
      </c>
      <c r="BW71" s="530" t="str">
        <f t="shared" ref="BW71:BW109" si="119">IF(BV71=$BC$127+1,ROW(BV71)/100,IF(ISNA(VLOOKUP(BV71,$BN$70:$BO$135,2,FALSE)),"",IF($BC$45=1,VLOOKUP(BV71,$BN$70:$BO$135,2,FALSE),VLOOKUP(BV71,$BN$70:$BP$135,3,FALSE))))</f>
        <v xml:space="preserve"> --</v>
      </c>
      <c r="BX71" s="522">
        <f t="shared" ref="BX71:BX109" si="120">BV71-BU71</f>
        <v>0</v>
      </c>
      <c r="BZ71" s="534" t="s">
        <v>482</v>
      </c>
      <c r="CA71" s="534"/>
      <c r="CB71" s="534"/>
      <c r="CC71" s="534"/>
      <c r="CD71" s="534"/>
      <c r="CE71" s="534"/>
      <c r="CF71" s="534"/>
      <c r="CK71" s="95" t="s">
        <v>550</v>
      </c>
      <c r="CO71" s="95" t="s">
        <v>416</v>
      </c>
      <c r="CP71" s="23">
        <f>SUM(CJ12:CM35)</f>
        <v>0</v>
      </c>
      <c r="CS71" s="246" t="str">
        <f>集計!B65</f>
        <v/>
      </c>
      <c r="CT71" s="584" t="str">
        <f t="shared" si="2"/>
        <v/>
      </c>
      <c r="CU71" s="545" t="e">
        <f t="shared" si="3"/>
        <v>#VALUE!</v>
      </c>
      <c r="CV71" s="585" t="str">
        <f t="shared" si="4"/>
        <v/>
      </c>
      <c r="CW71" s="96"/>
      <c r="CX71" s="545" t="e">
        <f>IF(INDEX(シート⑤成績表!$E$11:$W$75,ROW(CX71)-11,シート①入力画面!$CT$9)="","",INDEX(シート⑤成績表!$E$11:$W$75,ROW(CX71)-11,シート①入力画面!$CT$9))</f>
        <v>#VALUE!</v>
      </c>
      <c r="CY71" s="138"/>
      <c r="DC71" s="261"/>
    </row>
    <row r="72" spans="15:107" ht="17.25" customHeight="1" x14ac:dyDescent="0.15">
      <c r="Q72" s="165"/>
      <c r="R72" s="23"/>
      <c r="S72" s="23" t="s">
        <v>101</v>
      </c>
      <c r="V72" s="96"/>
      <c r="X72" s="165"/>
      <c r="Y72" s="165"/>
      <c r="Z72" s="96"/>
      <c r="AE72" s="23"/>
      <c r="AF72" s="15"/>
      <c r="AR72" s="261"/>
      <c r="AY72" s="203">
        <f t="shared" si="112"/>
        <v>1</v>
      </c>
      <c r="AZ72" s="196" t="str">
        <f t="shared" si="117"/>
        <v xml:space="preserve"> --</v>
      </c>
      <c r="BA72" s="196">
        <f>BN12</f>
        <v>1</v>
      </c>
      <c r="BB72" s="177" t="str">
        <f>BT12</f>
        <v xml:space="preserve"> --</v>
      </c>
      <c r="BC72" s="23" t="str">
        <f t="shared" si="113"/>
        <v xml:space="preserve"> --</v>
      </c>
      <c r="BE72" s="204">
        <v>3</v>
      </c>
      <c r="BF72" s="196" t="str">
        <f>IF(集計!B7="","",集計!B7)</f>
        <v>飯田</v>
      </c>
      <c r="BG72" s="224" t="str">
        <f>IF(BF72="","",IF($BA$45=1,IF(ISNA(VLOOKUP(BF72,組合せﾃﾞｰﾀ!$AU$7:$AV$54,2,FALSE)),BF72,VLOOKUP(BF72,組合せﾃﾞｰﾀ!$AU$7:$AV$54,2,FALSE)),BF72))</f>
        <v>飯田</v>
      </c>
      <c r="BI72" s="179"/>
      <c r="BJ72" s="196" t="str">
        <f>組合せﾃﾞｰﾀ!$I7</f>
        <v>飯田</v>
      </c>
      <c r="BK72" s="224" t="str">
        <f>IF($BA$45=1,IF(ISNA(VLOOKUP(BJ72,組合せﾃﾞｰﾀ!$AU$7:$AV$54,2,FALSE)),BJ72,VLOOKUP(BJ72,組合せﾃﾞｰﾀ!$AU$7:$AV$54,2,FALSE)),BJ72)</f>
        <v>飯田</v>
      </c>
      <c r="BL72" s="23"/>
      <c r="BN72" s="205">
        <v>3</v>
      </c>
      <c r="BO72" s="524" t="str">
        <f t="shared" si="114"/>
        <v>飯田</v>
      </c>
      <c r="BP72" s="524" t="str">
        <f t="shared" ref="BP72:BP135" si="121">IF($BC$45=1,IF($AY$45=1,$BG72,$BK72),BP72)</f>
        <v>飯田</v>
      </c>
      <c r="BR72" s="96">
        <v>3</v>
      </c>
      <c r="BS72" s="206" t="str">
        <f t="shared" si="116"/>
        <v>飯田</v>
      </c>
      <c r="BU72" s="522">
        <f t="shared" si="118"/>
        <v>1</v>
      </c>
      <c r="BV72" s="196">
        <f>BB12</f>
        <v>1</v>
      </c>
      <c r="BW72" s="530" t="str">
        <f t="shared" si="119"/>
        <v xml:space="preserve"> --</v>
      </c>
      <c r="BX72" s="522">
        <f t="shared" si="120"/>
        <v>0</v>
      </c>
      <c r="CK72" s="95" t="s">
        <v>550</v>
      </c>
      <c r="CL72" s="95"/>
      <c r="CO72" s="95" t="s">
        <v>417</v>
      </c>
      <c r="CP72" s="95">
        <f>SUM(CJ38:CM61)</f>
        <v>0</v>
      </c>
      <c r="CS72" s="246" t="str">
        <f>集計!B66</f>
        <v/>
      </c>
      <c r="CT72" s="584" t="str">
        <f t="shared" si="2"/>
        <v/>
      </c>
      <c r="CU72" s="545" t="e">
        <f t="shared" si="3"/>
        <v>#VALUE!</v>
      </c>
      <c r="CV72" s="585" t="str">
        <f t="shared" si="4"/>
        <v/>
      </c>
      <c r="CW72" s="243"/>
      <c r="CX72" s="545" t="e">
        <f>IF(INDEX(シート⑤成績表!$E$11:$W$75,ROW(CX72)-11,シート①入力画面!$CT$9)="","",INDEX(シート⑤成績表!$E$11:$W$75,ROW(CX72)-11,シート①入力画面!$CT$9))</f>
        <v>#VALUE!</v>
      </c>
      <c r="CY72" s="243"/>
      <c r="CZ72" s="243"/>
      <c r="DC72" s="261"/>
    </row>
    <row r="73" spans="15:107" ht="17.25" customHeight="1" x14ac:dyDescent="0.15">
      <c r="Q73" s="165"/>
      <c r="R73" s="23"/>
      <c r="S73" s="23" t="s">
        <v>266</v>
      </c>
      <c r="V73" s="96"/>
      <c r="Z73" s="96"/>
      <c r="AE73" s="23"/>
      <c r="AR73" s="261"/>
      <c r="AS73" s="318" t="s">
        <v>250</v>
      </c>
      <c r="AT73" s="714" t="s">
        <v>702</v>
      </c>
      <c r="AY73" s="203">
        <f t="shared" si="112"/>
        <v>1</v>
      </c>
      <c r="AZ73" s="196" t="str">
        <f t="shared" si="117"/>
        <v xml:space="preserve"> --</v>
      </c>
      <c r="BA73" s="196">
        <f>BO12</f>
        <v>1</v>
      </c>
      <c r="BB73" s="177" t="str">
        <f>BU12</f>
        <v xml:space="preserve"> --</v>
      </c>
      <c r="BC73" s="23" t="str">
        <f t="shared" si="113"/>
        <v xml:space="preserve"> --</v>
      </c>
      <c r="BE73" s="204">
        <v>4</v>
      </c>
      <c r="BF73" s="196" t="str">
        <f>IF(集計!B8="","",集計!B8)</f>
        <v>五十嵐</v>
      </c>
      <c r="BG73" s="224" t="str">
        <f>IF(BF73="","",IF($BA$45=1,IF(ISNA(VLOOKUP(BF73,組合せﾃﾞｰﾀ!$AU$7:$AV$54,2,FALSE)),BF73,VLOOKUP(BF73,組合せﾃﾞｰﾀ!$AU$7:$AV$54,2,FALSE)),BF73))</f>
        <v>五十嵐</v>
      </c>
      <c r="BI73" s="179"/>
      <c r="BJ73" s="196" t="str">
        <f>組合せﾃﾞｰﾀ!$I8</f>
        <v>五十嵐</v>
      </c>
      <c r="BK73" s="224" t="str">
        <f>IF($BA$45=1,IF(ISNA(VLOOKUP(BJ73,組合せﾃﾞｰﾀ!$AU$7:$AV$54,2,FALSE)),BJ73,VLOOKUP(BJ73,組合せﾃﾞｰﾀ!$AU$7:$AV$54,2,FALSE)),BJ73)</f>
        <v>五十嵐</v>
      </c>
      <c r="BL73" s="23"/>
      <c r="BN73" s="205">
        <v>4</v>
      </c>
      <c r="BO73" s="524" t="str">
        <f t="shared" si="114"/>
        <v>五十嵐</v>
      </c>
      <c r="BP73" s="524" t="str">
        <f t="shared" si="121"/>
        <v>五十嵐</v>
      </c>
      <c r="BR73" s="96">
        <v>4</v>
      </c>
      <c r="BS73" s="206" t="str">
        <f t="shared" si="116"/>
        <v>五十嵐</v>
      </c>
      <c r="BU73" s="522">
        <f t="shared" si="118"/>
        <v>1</v>
      </c>
      <c r="BV73" s="196">
        <f>BC12</f>
        <v>1</v>
      </c>
      <c r="BW73" s="530" t="str">
        <f t="shared" si="119"/>
        <v xml:space="preserve"> --</v>
      </c>
      <c r="BX73" s="522">
        <f t="shared" si="120"/>
        <v>0</v>
      </c>
      <c r="CS73" s="246" t="str">
        <f>集計!B67</f>
        <v/>
      </c>
      <c r="CT73" s="584" t="str">
        <f t="shared" si="2"/>
        <v/>
      </c>
      <c r="CU73" s="545" t="e">
        <f t="shared" si="3"/>
        <v>#VALUE!</v>
      </c>
      <c r="CV73" s="585" t="str">
        <f t="shared" si="4"/>
        <v/>
      </c>
      <c r="CW73" s="243"/>
      <c r="CX73" s="545" t="e">
        <f>IF(INDEX(シート⑤成績表!$E$11:$W$75,ROW(CX73)-11,シート①入力画面!$CT$9)="","",INDEX(シート⑤成績表!$E$11:$W$75,ROW(CX73)-11,シート①入力画面!$CT$9))</f>
        <v>#VALUE!</v>
      </c>
      <c r="CY73" s="244"/>
      <c r="CZ73" s="243"/>
      <c r="DC73" s="261"/>
    </row>
    <row r="74" spans="15:107" ht="17.25" customHeight="1" thickBot="1" x14ac:dyDescent="0.2">
      <c r="Q74" s="165"/>
      <c r="R74" s="23"/>
      <c r="S74" s="23" t="s">
        <v>102</v>
      </c>
      <c r="V74" s="96"/>
      <c r="Z74" s="96"/>
      <c r="AE74" s="23"/>
      <c r="AR74" s="261"/>
      <c r="AS74" s="322"/>
      <c r="AT74" s="254" t="s">
        <v>539</v>
      </c>
      <c r="AY74" s="203">
        <f t="shared" si="112"/>
        <v>1</v>
      </c>
      <c r="AZ74" s="196" t="str">
        <f t="shared" si="117"/>
        <v xml:space="preserve"> --</v>
      </c>
      <c r="BA74" s="196">
        <f>BL14</f>
        <v>1</v>
      </c>
      <c r="BB74" s="177" t="str">
        <f>BR14</f>
        <v xml:space="preserve"> --</v>
      </c>
      <c r="BC74" s="23" t="str">
        <f t="shared" si="113"/>
        <v xml:space="preserve"> --</v>
      </c>
      <c r="BE74" s="204">
        <v>5</v>
      </c>
      <c r="BF74" s="196" t="str">
        <f>IF(集計!B9="","",集計!B9)</f>
        <v>市来</v>
      </c>
      <c r="BG74" s="224" t="str">
        <f>IF(BF74="","",IF($BA$45=1,IF(ISNA(VLOOKUP(BF74,組合せﾃﾞｰﾀ!$AU$7:$AV$54,2,FALSE)),BF74,VLOOKUP(BF74,組合せﾃﾞｰﾀ!$AU$7:$AV$54,2,FALSE)),BF74))</f>
        <v>市来</v>
      </c>
      <c r="BI74" s="179"/>
      <c r="BJ74" s="196" t="str">
        <f>組合せﾃﾞｰﾀ!$I9</f>
        <v>市来</v>
      </c>
      <c r="BK74" s="224" t="str">
        <f>IF($BA$45=1,IF(ISNA(VLOOKUP(BJ74,組合せﾃﾞｰﾀ!$AU$7:$AV$54,2,FALSE)),BJ74,VLOOKUP(BJ74,組合せﾃﾞｰﾀ!$AU$7:$AV$54,2,FALSE)),BJ74)</f>
        <v>市来</v>
      </c>
      <c r="BL74" s="23"/>
      <c r="BN74" s="205">
        <v>5</v>
      </c>
      <c r="BO74" s="524" t="str">
        <f t="shared" si="114"/>
        <v>市来</v>
      </c>
      <c r="BP74" s="524" t="str">
        <f t="shared" si="121"/>
        <v>市来</v>
      </c>
      <c r="BR74" s="96">
        <v>5</v>
      </c>
      <c r="BS74" s="206" t="str">
        <f t="shared" si="116"/>
        <v>市来</v>
      </c>
      <c r="BU74" s="522">
        <f t="shared" si="118"/>
        <v>1</v>
      </c>
      <c r="BV74" s="196">
        <f>AZ14</f>
        <v>1</v>
      </c>
      <c r="BW74" s="530" t="str">
        <f t="shared" si="119"/>
        <v xml:space="preserve"> --</v>
      </c>
      <c r="BX74" s="522">
        <f t="shared" si="120"/>
        <v>0</v>
      </c>
      <c r="CS74" s="246" t="str">
        <f>集計!B68</f>
        <v/>
      </c>
      <c r="CT74" s="584" t="str">
        <f t="shared" si="2"/>
        <v/>
      </c>
      <c r="CU74" s="545" t="e">
        <f t="shared" si="3"/>
        <v>#VALUE!</v>
      </c>
      <c r="CV74" s="585" t="str">
        <f t="shared" si="4"/>
        <v/>
      </c>
      <c r="CW74" s="96"/>
      <c r="CX74" s="545" t="e">
        <f>IF(INDEX(シート⑤成績表!$E$11:$W$75,ROW(CX74)-11,シート①入力画面!$CT$9)="","",INDEX(シート⑤成績表!$E$11:$W$75,ROW(CX74)-11,シート①入力画面!$CT$9))</f>
        <v>#VALUE!</v>
      </c>
      <c r="DC74" s="261"/>
    </row>
    <row r="75" spans="15:107" ht="17.25" customHeight="1" thickBot="1" x14ac:dyDescent="0.2">
      <c r="R75" s="23"/>
      <c r="S75" s="96"/>
      <c r="U75" s="96"/>
      <c r="V75" s="96"/>
      <c r="Z75" s="96"/>
      <c r="AE75" s="23"/>
      <c r="AR75" s="261"/>
      <c r="AS75" s="322"/>
      <c r="AT75" s="322" t="s">
        <v>505</v>
      </c>
      <c r="AY75" s="203">
        <f t="shared" si="112"/>
        <v>1</v>
      </c>
      <c r="AZ75" s="196" t="str">
        <f t="shared" si="117"/>
        <v xml:space="preserve"> --</v>
      </c>
      <c r="BA75" s="196">
        <f>BM14</f>
        <v>1</v>
      </c>
      <c r="BB75" s="177" t="str">
        <f>BS14</f>
        <v xml:space="preserve"> --</v>
      </c>
      <c r="BC75" s="23" t="str">
        <f t="shared" si="113"/>
        <v xml:space="preserve"> --</v>
      </c>
      <c r="BE75" s="204">
        <v>6</v>
      </c>
      <c r="BF75" s="196" t="str">
        <f>IF(集計!B10="","",集計!B10)</f>
        <v>伊藤</v>
      </c>
      <c r="BG75" s="224" t="str">
        <f>IF(BF75="","",IF($BA$45=1,IF(ISNA(VLOOKUP(BF75,組合せﾃﾞｰﾀ!$AU$7:$AV$54,2,FALSE)),BF75,VLOOKUP(BF75,組合せﾃﾞｰﾀ!$AU$7:$AV$54,2,FALSE)),BF75))</f>
        <v>伊藤</v>
      </c>
      <c r="BI75" s="179"/>
      <c r="BJ75" s="196" t="str">
        <f>組合せﾃﾞｰﾀ!$I10</f>
        <v>伊藤</v>
      </c>
      <c r="BK75" s="224" t="str">
        <f>IF($BA$45=1,IF(ISNA(VLOOKUP(BJ75,組合せﾃﾞｰﾀ!$AU$7:$AV$54,2,FALSE)),BJ75,VLOOKUP(BJ75,組合せﾃﾞｰﾀ!$AU$7:$AV$54,2,FALSE)),BJ75)</f>
        <v>伊藤</v>
      </c>
      <c r="BL75" s="23"/>
      <c r="BN75" s="205">
        <v>6</v>
      </c>
      <c r="BO75" s="524" t="str">
        <f t="shared" si="114"/>
        <v>伊藤</v>
      </c>
      <c r="BP75" s="524" t="str">
        <f t="shared" si="121"/>
        <v>伊藤</v>
      </c>
      <c r="BR75" s="96">
        <v>6</v>
      </c>
      <c r="BS75" s="206" t="str">
        <f t="shared" si="116"/>
        <v>伊藤</v>
      </c>
      <c r="BU75" s="522">
        <f t="shared" si="118"/>
        <v>1</v>
      </c>
      <c r="BV75" s="196">
        <f>BA14</f>
        <v>1</v>
      </c>
      <c r="BW75" s="530" t="str">
        <f t="shared" si="119"/>
        <v xml:space="preserve"> --</v>
      </c>
      <c r="BX75" s="522">
        <f t="shared" si="120"/>
        <v>0</v>
      </c>
      <c r="CM75" s="609" t="e">
        <f>IF($CP$68=$CP$71,0,IF($CP$68=CP72,0,IF($CP$68=$CX$78,0,1)))</f>
        <v>#VALUE!</v>
      </c>
      <c r="CN75" s="23" t="s">
        <v>599</v>
      </c>
      <c r="CS75" s="246" t="str">
        <f>集計!B69</f>
        <v/>
      </c>
      <c r="CT75" s="584" t="str">
        <f t="shared" si="2"/>
        <v/>
      </c>
      <c r="CU75" s="545" t="e">
        <f t="shared" si="3"/>
        <v>#VALUE!</v>
      </c>
      <c r="CV75" s="585" t="str">
        <f t="shared" si="4"/>
        <v/>
      </c>
      <c r="CW75" s="96"/>
      <c r="CX75" s="545" t="e">
        <f>IF(INDEX(シート⑤成績表!$E$11:$W$75,ROW(CX75)-11,シート①入力画面!$CT$9)="","",INDEX(シート⑤成績表!$E$11:$W$75,ROW(CX75)-11,シート①入力画面!$CT$9))</f>
        <v>#VALUE!</v>
      </c>
      <c r="DC75" s="261"/>
    </row>
    <row r="76" spans="15:107" ht="17.25" customHeight="1" x14ac:dyDescent="0.15">
      <c r="O76" s="165"/>
      <c r="Q76" s="165" t="s">
        <v>103</v>
      </c>
      <c r="R76" s="23"/>
      <c r="V76" s="96"/>
      <c r="Z76" s="96"/>
      <c r="AB76" s="23"/>
      <c r="AD76" s="96"/>
      <c r="AE76" s="23"/>
      <c r="AR76" s="261"/>
      <c r="AS76" s="322"/>
      <c r="AT76" s="322" t="s">
        <v>504</v>
      </c>
      <c r="AY76" s="203">
        <f t="shared" si="112"/>
        <v>1</v>
      </c>
      <c r="AZ76" s="196" t="str">
        <f t="shared" si="117"/>
        <v xml:space="preserve"> --</v>
      </c>
      <c r="BA76" s="196">
        <f>BN14</f>
        <v>1</v>
      </c>
      <c r="BB76" s="177" t="str">
        <f>BT14</f>
        <v xml:space="preserve"> --</v>
      </c>
      <c r="BC76" s="23" t="str">
        <f t="shared" si="113"/>
        <v xml:space="preserve"> --</v>
      </c>
      <c r="BE76" s="204">
        <v>7</v>
      </c>
      <c r="BF76" s="196" t="str">
        <f>IF(集計!B11="","",集計!B11)</f>
        <v>上田</v>
      </c>
      <c r="BG76" s="224" t="str">
        <f>IF(BF76="","",IF($BA$45=1,IF(ISNA(VLOOKUP(BF76,組合せﾃﾞｰﾀ!$AU$7:$AV$54,2,FALSE)),BF76,VLOOKUP(BF76,組合せﾃﾞｰﾀ!$AU$7:$AV$54,2,FALSE)),BF76))</f>
        <v>上田</v>
      </c>
      <c r="BI76" s="179"/>
      <c r="BJ76" s="196" t="str">
        <f>組合せﾃﾞｰﾀ!$I11</f>
        <v>上田</v>
      </c>
      <c r="BK76" s="224" t="str">
        <f>IF($BA$45=1,IF(ISNA(VLOOKUP(BJ76,組合せﾃﾞｰﾀ!$AU$7:$AV$54,2,FALSE)),BJ76,VLOOKUP(BJ76,組合せﾃﾞｰﾀ!$AU$7:$AV$54,2,FALSE)),BJ76)</f>
        <v>上田</v>
      </c>
      <c r="BL76" s="23"/>
      <c r="BN76" s="205">
        <v>7</v>
      </c>
      <c r="BO76" s="524" t="str">
        <f t="shared" si="114"/>
        <v>上田</v>
      </c>
      <c r="BP76" s="524" t="str">
        <f t="shared" si="121"/>
        <v>上田</v>
      </c>
      <c r="BR76" s="96">
        <v>7</v>
      </c>
      <c r="BS76" s="206" t="str">
        <f t="shared" si="116"/>
        <v>上田</v>
      </c>
      <c r="BU76" s="522">
        <f t="shared" si="118"/>
        <v>1</v>
      </c>
      <c r="BV76" s="196">
        <f>BB14</f>
        <v>1</v>
      </c>
      <c r="BW76" s="530" t="str">
        <f t="shared" si="119"/>
        <v xml:space="preserve"> --</v>
      </c>
      <c r="BX76" s="522">
        <f t="shared" si="120"/>
        <v>0</v>
      </c>
      <c r="CN76" s="23" t="s">
        <v>600</v>
      </c>
      <c r="CS76" s="246" t="str">
        <f>集計!B70</f>
        <v/>
      </c>
      <c r="CT76" s="584" t="str">
        <f t="shared" si="2"/>
        <v/>
      </c>
      <c r="CU76" s="545" t="e">
        <f t="shared" si="3"/>
        <v>#VALUE!</v>
      </c>
      <c r="CV76" s="585" t="str">
        <f t="shared" si="4"/>
        <v/>
      </c>
      <c r="CW76" s="96"/>
      <c r="CX76" s="545" t="e">
        <f>IF(INDEX(シート⑤成績表!$E$11:$W$75,ROW(CX76)-11,シート①入力画面!$CT$9)="","",INDEX(シート⑤成績表!$E$11:$W$75,ROW(CX76)-11,シート①入力画面!$CT$9))</f>
        <v>#VALUE!</v>
      </c>
      <c r="DC76" s="261"/>
    </row>
    <row r="77" spans="15:107" ht="17.25" customHeight="1" x14ac:dyDescent="0.15">
      <c r="Q77" s="23"/>
      <c r="R77" s="23"/>
      <c r="S77" s="165" t="s">
        <v>267</v>
      </c>
      <c r="U77" s="165"/>
      <c r="W77" s="23"/>
      <c r="Z77" s="140"/>
      <c r="AA77" s="96"/>
      <c r="AE77"/>
      <c r="AR77" s="261"/>
      <c r="AS77" s="322"/>
      <c r="AT77" s="322" t="s">
        <v>497</v>
      </c>
      <c r="AY77" s="203">
        <f t="shared" si="112"/>
        <v>1</v>
      </c>
      <c r="AZ77" s="196" t="str">
        <f t="shared" si="117"/>
        <v xml:space="preserve"> --</v>
      </c>
      <c r="BA77" s="196">
        <f>BO14</f>
        <v>1</v>
      </c>
      <c r="BB77" s="177" t="str">
        <f>BU14</f>
        <v xml:space="preserve"> --</v>
      </c>
      <c r="BC77" s="23" t="str">
        <f t="shared" si="113"/>
        <v xml:space="preserve"> --</v>
      </c>
      <c r="BE77" s="204">
        <v>8</v>
      </c>
      <c r="BF77" s="196" t="str">
        <f>IF(集計!B12="","",集計!B12)</f>
        <v>大塩</v>
      </c>
      <c r="BG77" s="224" t="str">
        <f>IF(BF77="","",IF($BA$45=1,IF(ISNA(VLOOKUP(BF77,組合せﾃﾞｰﾀ!$AU$7:$AV$54,2,FALSE)),BF77,VLOOKUP(BF77,組合せﾃﾞｰﾀ!$AU$7:$AV$54,2,FALSE)),BF77))</f>
        <v>大塩</v>
      </c>
      <c r="BI77" s="179"/>
      <c r="BJ77" s="196" t="str">
        <f>組合せﾃﾞｰﾀ!$I12</f>
        <v>大塩</v>
      </c>
      <c r="BK77" s="224" t="str">
        <f>IF($BA$45=1,IF(ISNA(VLOOKUP(BJ77,組合せﾃﾞｰﾀ!$AU$7:$AV$54,2,FALSE)),BJ77,VLOOKUP(BJ77,組合せﾃﾞｰﾀ!$AU$7:$AV$54,2,FALSE)),BJ77)</f>
        <v>大塩</v>
      </c>
      <c r="BL77" s="23"/>
      <c r="BN77" s="205">
        <v>8</v>
      </c>
      <c r="BO77" s="524" t="str">
        <f t="shared" si="114"/>
        <v>大塩</v>
      </c>
      <c r="BP77" s="524" t="str">
        <f t="shared" si="121"/>
        <v>大塩</v>
      </c>
      <c r="BR77" s="96">
        <v>8</v>
      </c>
      <c r="BS77" s="206" t="str">
        <f t="shared" si="116"/>
        <v>大塩</v>
      </c>
      <c r="BU77" s="522">
        <f t="shared" si="118"/>
        <v>1</v>
      </c>
      <c r="BV77" s="196">
        <f>BC14</f>
        <v>1</v>
      </c>
      <c r="BW77" s="530" t="str">
        <f t="shared" si="119"/>
        <v xml:space="preserve"> --</v>
      </c>
      <c r="BX77" s="522">
        <f t="shared" si="120"/>
        <v>0</v>
      </c>
      <c r="CN77" s="23" t="s">
        <v>601</v>
      </c>
      <c r="CS77" s="163"/>
      <c r="CU77" s="96"/>
      <c r="CV77" s="96"/>
      <c r="CW77" s="96"/>
      <c r="CX77" s="243"/>
      <c r="DC77" s="261"/>
    </row>
    <row r="78" spans="15:107" ht="17.25" customHeight="1" x14ac:dyDescent="0.15">
      <c r="O78" s="96"/>
      <c r="P78" s="96"/>
      <c r="Q78" s="23"/>
      <c r="R78" s="23"/>
      <c r="U78"/>
      <c r="V78"/>
      <c r="X78" s="23"/>
      <c r="Y78" s="138"/>
      <c r="Z78" s="140"/>
      <c r="AA78" s="96"/>
      <c r="AE78" s="23"/>
      <c r="AR78" s="261"/>
      <c r="AS78" s="319"/>
      <c r="AT78" s="319" t="s">
        <v>483</v>
      </c>
      <c r="AY78" s="203">
        <f t="shared" si="112"/>
        <v>1</v>
      </c>
      <c r="AZ78" s="196" t="str">
        <f t="shared" si="117"/>
        <v xml:space="preserve"> --</v>
      </c>
      <c r="BA78" s="196">
        <f>BL16</f>
        <v>1</v>
      </c>
      <c r="BB78" s="177" t="str">
        <f>BR16</f>
        <v xml:space="preserve"> --</v>
      </c>
      <c r="BC78" s="23" t="str">
        <f t="shared" si="113"/>
        <v xml:space="preserve"> --</v>
      </c>
      <c r="BE78" s="204">
        <v>9</v>
      </c>
      <c r="BF78" s="196" t="str">
        <f>IF(集計!B13="","",集計!B13)</f>
        <v>大橋</v>
      </c>
      <c r="BG78" s="224" t="str">
        <f>IF(BF78="","",IF($BA$45=1,IF(ISNA(VLOOKUP(BF78,組合せﾃﾞｰﾀ!$AU$7:$AV$54,2,FALSE)),BF78,VLOOKUP(BF78,組合せﾃﾞｰﾀ!$AU$7:$AV$54,2,FALSE)),BF78))</f>
        <v>大橋</v>
      </c>
      <c r="BI78" s="179"/>
      <c r="BJ78" s="196" t="str">
        <f>組合せﾃﾞｰﾀ!$I13</f>
        <v>大橋</v>
      </c>
      <c r="BK78" s="224" t="str">
        <f>IF($BA$45=1,IF(ISNA(VLOOKUP(BJ78,組合せﾃﾞｰﾀ!$AU$7:$AV$54,2,FALSE)),BJ78,VLOOKUP(BJ78,組合せﾃﾞｰﾀ!$AU$7:$AV$54,2,FALSE)),BJ78)</f>
        <v>大橋</v>
      </c>
      <c r="BL78" s="23"/>
      <c r="BN78" s="205">
        <v>9</v>
      </c>
      <c r="BO78" s="524" t="str">
        <f t="shared" si="114"/>
        <v>大橋</v>
      </c>
      <c r="BP78" s="524" t="str">
        <f t="shared" si="121"/>
        <v>大橋</v>
      </c>
      <c r="BR78" s="96">
        <v>9</v>
      </c>
      <c r="BS78" s="206" t="str">
        <f t="shared" si="116"/>
        <v>大橋</v>
      </c>
      <c r="BU78" s="522">
        <f t="shared" si="118"/>
        <v>1</v>
      </c>
      <c r="BV78" s="196">
        <f>AZ16</f>
        <v>1</v>
      </c>
      <c r="BW78" s="530" t="str">
        <f t="shared" si="119"/>
        <v xml:space="preserve"> --</v>
      </c>
      <c r="BX78" s="522">
        <f t="shared" si="120"/>
        <v>0</v>
      </c>
      <c r="CS78" s="163"/>
      <c r="CU78" s="96"/>
      <c r="CV78" s="96"/>
      <c r="CW78" s="95" t="s">
        <v>512</v>
      </c>
      <c r="CX78" s="544" t="e">
        <f>SUM(CX12:CX76)</f>
        <v>#VALUE!</v>
      </c>
      <c r="DC78" s="261"/>
    </row>
    <row r="79" spans="15:107" ht="17.25" customHeight="1" x14ac:dyDescent="0.15">
      <c r="W79" s="165"/>
      <c r="X79" s="165"/>
      <c r="AR79" s="261"/>
      <c r="AY79" s="203">
        <f t="shared" si="112"/>
        <v>1</v>
      </c>
      <c r="AZ79" s="196" t="str">
        <f t="shared" si="117"/>
        <v xml:space="preserve"> --</v>
      </c>
      <c r="BA79" s="196">
        <f>BM16</f>
        <v>1</v>
      </c>
      <c r="BB79" s="177" t="str">
        <f>BS16</f>
        <v xml:space="preserve"> --</v>
      </c>
      <c r="BC79" s="23" t="str">
        <f t="shared" si="113"/>
        <v xml:space="preserve"> --</v>
      </c>
      <c r="BE79" s="204">
        <v>10</v>
      </c>
      <c r="BF79" s="196" t="str">
        <f>IF(集計!B14="","",集計!B14)</f>
        <v>岡本</v>
      </c>
      <c r="BG79" s="224" t="str">
        <f>IF(BF79="","",IF($BA$45=1,IF(ISNA(VLOOKUP(BF79,組合せﾃﾞｰﾀ!$AU$7:$AV$54,2,FALSE)),BF79,VLOOKUP(BF79,組合せﾃﾞｰﾀ!$AU$7:$AV$54,2,FALSE)),BF79))</f>
        <v>岡本</v>
      </c>
      <c r="BI79" s="179"/>
      <c r="BJ79" s="196" t="str">
        <f>組合せﾃﾞｰﾀ!$I14</f>
        <v>岡本</v>
      </c>
      <c r="BK79" s="224" t="str">
        <f>IF($BA$45=1,IF(ISNA(VLOOKUP(BJ79,組合せﾃﾞｰﾀ!$AU$7:$AV$54,2,FALSE)),BJ79,VLOOKUP(BJ79,組合せﾃﾞｰﾀ!$AU$7:$AV$54,2,FALSE)),BJ79)</f>
        <v>岡本</v>
      </c>
      <c r="BL79" s="23"/>
      <c r="BN79" s="205">
        <v>10</v>
      </c>
      <c r="BO79" s="524" t="str">
        <f t="shared" si="114"/>
        <v>岡本</v>
      </c>
      <c r="BP79" s="524" t="str">
        <f t="shared" si="121"/>
        <v>岡本</v>
      </c>
      <c r="BR79" s="96">
        <v>10</v>
      </c>
      <c r="BS79" s="206" t="str">
        <f t="shared" si="116"/>
        <v>岡本</v>
      </c>
      <c r="BU79" s="522">
        <f t="shared" si="118"/>
        <v>1</v>
      </c>
      <c r="BV79" s="196">
        <f>BA16</f>
        <v>1</v>
      </c>
      <c r="BW79" s="530" t="str">
        <f t="shared" si="119"/>
        <v xml:space="preserve"> --</v>
      </c>
      <c r="BX79" s="522">
        <f t="shared" si="120"/>
        <v>0</v>
      </c>
      <c r="CS79" s="183"/>
      <c r="CT79" s="204" t="s">
        <v>612</v>
      </c>
      <c r="CU79" s="658" t="e">
        <f>SUM(CU12:CU76)</f>
        <v>#VALUE!</v>
      </c>
      <c r="CV79" s="96"/>
      <c r="CW79" s="96"/>
      <c r="CX79" s="96"/>
      <c r="DC79" s="261"/>
    </row>
    <row r="80" spans="15:107" ht="17.25" customHeight="1" x14ac:dyDescent="0.15">
      <c r="S80"/>
      <c r="T80"/>
      <c r="W80" s="23"/>
      <c r="X80" s="23"/>
      <c r="AE80" s="15"/>
      <c r="AR80" s="261"/>
      <c r="AS80" s="254" t="s">
        <v>251</v>
      </c>
      <c r="AT80" s="323" t="s">
        <v>543</v>
      </c>
      <c r="AY80" s="203">
        <f t="shared" si="112"/>
        <v>1</v>
      </c>
      <c r="AZ80" s="196" t="str">
        <f t="shared" si="117"/>
        <v xml:space="preserve"> --</v>
      </c>
      <c r="BA80" s="196">
        <f>BN16</f>
        <v>1</v>
      </c>
      <c r="BB80" s="177" t="str">
        <f>BT16</f>
        <v xml:space="preserve"> --</v>
      </c>
      <c r="BC80" s="23" t="str">
        <f t="shared" si="113"/>
        <v xml:space="preserve"> --</v>
      </c>
      <c r="BE80" s="204">
        <v>11</v>
      </c>
      <c r="BF80" s="196" t="str">
        <f>IF(集計!B15="","",集計!B15)</f>
        <v>興津</v>
      </c>
      <c r="BG80" s="224" t="str">
        <f>IF(BF80="","",IF($BA$45=1,IF(ISNA(VLOOKUP(BF80,組合せﾃﾞｰﾀ!$AU$7:$AV$54,2,FALSE)),BF80,VLOOKUP(BF80,組合せﾃﾞｰﾀ!$AU$7:$AV$54,2,FALSE)),BF80))</f>
        <v>興津</v>
      </c>
      <c r="BI80" s="179"/>
      <c r="BJ80" s="196" t="str">
        <f>組合せﾃﾞｰﾀ!$I15</f>
        <v>興津</v>
      </c>
      <c r="BK80" s="224" t="str">
        <f>IF($BA$45=1,IF(ISNA(VLOOKUP(BJ80,組合せﾃﾞｰﾀ!$AU$7:$AV$54,2,FALSE)),BJ80,VLOOKUP(BJ80,組合せﾃﾞｰﾀ!$AU$7:$AV$54,2,FALSE)),BJ80)</f>
        <v>興津</v>
      </c>
      <c r="BL80" s="23"/>
      <c r="BN80" s="205">
        <v>11</v>
      </c>
      <c r="BO80" s="524" t="str">
        <f t="shared" si="114"/>
        <v>興津</v>
      </c>
      <c r="BP80" s="524" t="str">
        <f t="shared" si="121"/>
        <v>興津</v>
      </c>
      <c r="BR80" s="96">
        <v>11</v>
      </c>
      <c r="BS80" s="206" t="str">
        <f t="shared" si="116"/>
        <v>興津</v>
      </c>
      <c r="BU80" s="522">
        <f t="shared" si="118"/>
        <v>1</v>
      </c>
      <c r="BV80" s="196">
        <f>BB16</f>
        <v>1</v>
      </c>
      <c r="BW80" s="530" t="str">
        <f t="shared" si="119"/>
        <v xml:space="preserve"> --</v>
      </c>
      <c r="BX80" s="522">
        <f t="shared" si="120"/>
        <v>0</v>
      </c>
      <c r="CS80" s="183"/>
      <c r="CT80" s="204" t="s">
        <v>613</v>
      </c>
      <c r="CU80" s="658">
        <f>COUNT(CU12:CU76)</f>
        <v>0</v>
      </c>
      <c r="CV80" s="96"/>
      <c r="CW80" s="96"/>
      <c r="CX80" s="96"/>
      <c r="DC80" s="261"/>
    </row>
    <row r="81" spans="32:107" ht="17.25" customHeight="1" x14ac:dyDescent="0.15">
      <c r="AR81" s="261"/>
      <c r="AS81" s="254"/>
      <c r="AT81" s="324" t="s">
        <v>533</v>
      </c>
      <c r="AY81" s="203">
        <f t="shared" si="112"/>
        <v>1</v>
      </c>
      <c r="AZ81" s="196" t="str">
        <f t="shared" si="117"/>
        <v xml:space="preserve"> --</v>
      </c>
      <c r="BA81" s="196">
        <f>BO16</f>
        <v>1</v>
      </c>
      <c r="BB81" s="177" t="str">
        <f>BU16</f>
        <v xml:space="preserve"> --</v>
      </c>
      <c r="BC81" s="23" t="str">
        <f t="shared" si="113"/>
        <v xml:space="preserve"> --</v>
      </c>
      <c r="BE81" s="204">
        <v>12</v>
      </c>
      <c r="BF81" s="196" t="str">
        <f>IF(集計!B16="","",集計!B16)</f>
        <v>奥原</v>
      </c>
      <c r="BG81" s="224" t="str">
        <f>IF(BF81="","",IF($BA$45=1,IF(ISNA(VLOOKUP(BF81,組合せﾃﾞｰﾀ!$AU$7:$AV$54,2,FALSE)),BF81,VLOOKUP(BF81,組合せﾃﾞｰﾀ!$AU$7:$AV$54,2,FALSE)),BF81))</f>
        <v>奥原</v>
      </c>
      <c r="BI81" s="179"/>
      <c r="BJ81" s="196" t="str">
        <f>組合せﾃﾞｰﾀ!$I16</f>
        <v>奥原</v>
      </c>
      <c r="BK81" s="224" t="str">
        <f>IF($BA$45=1,IF(ISNA(VLOOKUP(BJ81,組合せﾃﾞｰﾀ!$AU$7:$AV$54,2,FALSE)),BJ81,VLOOKUP(BJ81,組合せﾃﾞｰﾀ!$AU$7:$AV$54,2,FALSE)),BJ81)</f>
        <v>奥原</v>
      </c>
      <c r="BL81" s="23"/>
      <c r="BN81" s="205">
        <v>12</v>
      </c>
      <c r="BO81" s="524" t="str">
        <f t="shared" si="114"/>
        <v>奥原</v>
      </c>
      <c r="BP81" s="524" t="str">
        <f t="shared" si="121"/>
        <v>奥原</v>
      </c>
      <c r="BR81" s="96">
        <v>12</v>
      </c>
      <c r="BS81" s="206" t="str">
        <f t="shared" si="116"/>
        <v>奥原</v>
      </c>
      <c r="BU81" s="522">
        <f t="shared" si="118"/>
        <v>1</v>
      </c>
      <c r="BV81" s="196">
        <f>BC16</f>
        <v>1</v>
      </c>
      <c r="BW81" s="530" t="str">
        <f t="shared" si="119"/>
        <v xml:space="preserve"> --</v>
      </c>
      <c r="BX81" s="522">
        <f t="shared" si="120"/>
        <v>0</v>
      </c>
      <c r="CS81" s="183"/>
      <c r="CT81" s="204" t="s">
        <v>614</v>
      </c>
      <c r="CU81" s="68" t="e">
        <f>IF(SUM(CU12:CU76)=0,"",AVERAGE(CU12:CU76))</f>
        <v>#VALUE!</v>
      </c>
      <c r="CV81" s="96"/>
      <c r="CW81" s="96"/>
      <c r="CX81" s="96"/>
      <c r="DC81" s="261"/>
    </row>
    <row r="82" spans="32:107" ht="17.25" customHeight="1" x14ac:dyDescent="0.15">
      <c r="AR82" s="261"/>
      <c r="AS82" s="254"/>
      <c r="AT82" s="324" t="s">
        <v>498</v>
      </c>
      <c r="AY82" s="203">
        <f t="shared" si="112"/>
        <v>1</v>
      </c>
      <c r="AZ82" s="196" t="str">
        <f t="shared" si="117"/>
        <v xml:space="preserve"> --</v>
      </c>
      <c r="BA82" s="196">
        <f>BL18</f>
        <v>1</v>
      </c>
      <c r="BB82" s="177" t="str">
        <f>BR18</f>
        <v xml:space="preserve"> --</v>
      </c>
      <c r="BC82" s="23" t="str">
        <f t="shared" si="113"/>
        <v xml:space="preserve"> --</v>
      </c>
      <c r="BE82" s="204">
        <v>13</v>
      </c>
      <c r="BF82" s="196" t="str">
        <f>IF(集計!B17="","",集計!B17)</f>
        <v>小倉</v>
      </c>
      <c r="BG82" s="224" t="str">
        <f>IF(BF82="","",IF($BA$45=1,IF(ISNA(VLOOKUP(BF82,組合せﾃﾞｰﾀ!$AU$7:$AV$54,2,FALSE)),BF82,VLOOKUP(BF82,組合せﾃﾞｰﾀ!$AU$7:$AV$54,2,FALSE)),BF82))</f>
        <v>小倉</v>
      </c>
      <c r="BI82" s="179"/>
      <c r="BJ82" s="196" t="str">
        <f>組合せﾃﾞｰﾀ!$I17</f>
        <v>小倉</v>
      </c>
      <c r="BK82" s="224" t="str">
        <f>IF($BA$45=1,IF(ISNA(VLOOKUP(BJ82,組合せﾃﾞｰﾀ!$AU$7:$AV$54,2,FALSE)),BJ82,VLOOKUP(BJ82,組合せﾃﾞｰﾀ!$AU$7:$AV$54,2,FALSE)),BJ82)</f>
        <v>小倉</v>
      </c>
      <c r="BL82" s="23"/>
      <c r="BN82" s="205">
        <v>13</v>
      </c>
      <c r="BO82" s="524" t="str">
        <f t="shared" si="114"/>
        <v>小倉</v>
      </c>
      <c r="BP82" s="524" t="str">
        <f t="shared" si="121"/>
        <v>小倉</v>
      </c>
      <c r="BR82" s="96">
        <v>13</v>
      </c>
      <c r="BS82" s="206" t="str">
        <f t="shared" si="116"/>
        <v>小倉</v>
      </c>
      <c r="BU82" s="522">
        <f t="shared" si="118"/>
        <v>1</v>
      </c>
      <c r="BV82" s="196">
        <f>AZ18</f>
        <v>1</v>
      </c>
      <c r="BW82" s="530" t="str">
        <f t="shared" si="119"/>
        <v xml:space="preserve"> --</v>
      </c>
      <c r="BX82" s="522">
        <f t="shared" si="120"/>
        <v>0</v>
      </c>
      <c r="CS82" s="183"/>
      <c r="CT82" s="204" t="s">
        <v>615</v>
      </c>
      <c r="CU82" s="657" t="str">
        <f>IF(CU80=0,"-",MIN(CU12:CU76))</f>
        <v>-</v>
      </c>
      <c r="CV82" s="96"/>
      <c r="CW82" s="96"/>
      <c r="CX82" s="96"/>
      <c r="DC82" s="261"/>
    </row>
    <row r="83" spans="32:107" ht="17.25" customHeight="1" x14ac:dyDescent="0.15">
      <c r="AF83" s="23"/>
      <c r="AR83" s="261"/>
      <c r="AS83" s="254"/>
      <c r="AT83" s="324" t="s">
        <v>492</v>
      </c>
      <c r="AY83" s="203">
        <f t="shared" si="112"/>
        <v>1</v>
      </c>
      <c r="AZ83" s="196" t="str">
        <f t="shared" si="117"/>
        <v xml:space="preserve"> --</v>
      </c>
      <c r="BA83" s="196">
        <f>BM18</f>
        <v>1</v>
      </c>
      <c r="BB83" s="177" t="str">
        <f>BS18</f>
        <v xml:space="preserve"> --</v>
      </c>
      <c r="BC83" s="23" t="str">
        <f t="shared" si="113"/>
        <v xml:space="preserve"> --</v>
      </c>
      <c r="BE83" s="204">
        <v>14</v>
      </c>
      <c r="BF83" s="196" t="str">
        <f>IF(集計!B18="","",集計!B18)</f>
        <v>小野山</v>
      </c>
      <c r="BG83" s="224" t="str">
        <f>IF(BF83="","",IF($BA$45=1,IF(ISNA(VLOOKUP(BF83,組合せﾃﾞｰﾀ!$AU$7:$AV$54,2,FALSE)),BF83,VLOOKUP(BF83,組合せﾃﾞｰﾀ!$AU$7:$AV$54,2,FALSE)),BF83))</f>
        <v>小野山</v>
      </c>
      <c r="BI83" s="179"/>
      <c r="BJ83" s="196" t="str">
        <f>組合せﾃﾞｰﾀ!$I18</f>
        <v>小野山</v>
      </c>
      <c r="BK83" s="224" t="str">
        <f>IF($BA$45=1,IF(ISNA(VLOOKUP(BJ83,組合せﾃﾞｰﾀ!$AU$7:$AV$54,2,FALSE)),BJ83,VLOOKUP(BJ83,組合せﾃﾞｰﾀ!$AU$7:$AV$54,2,FALSE)),BJ83)</f>
        <v>小野山</v>
      </c>
      <c r="BL83" s="23"/>
      <c r="BN83" s="205">
        <v>14</v>
      </c>
      <c r="BO83" s="524" t="str">
        <f t="shared" si="114"/>
        <v>小野山</v>
      </c>
      <c r="BP83" s="524" t="str">
        <f t="shared" si="121"/>
        <v>小野山</v>
      </c>
      <c r="BR83" s="96">
        <v>14</v>
      </c>
      <c r="BS83" s="206" t="str">
        <f t="shared" si="116"/>
        <v>小野山</v>
      </c>
      <c r="BU83" s="522">
        <f t="shared" si="118"/>
        <v>1</v>
      </c>
      <c r="BV83" s="196">
        <f>BA18</f>
        <v>1</v>
      </c>
      <c r="BW83" s="530" t="str">
        <f t="shared" si="119"/>
        <v xml:space="preserve"> --</v>
      </c>
      <c r="BX83" s="522">
        <f t="shared" si="120"/>
        <v>0</v>
      </c>
      <c r="CS83" s="183"/>
      <c r="CT83" s="196"/>
      <c r="CU83" s="659" t="str">
        <f t="array" ref="CU83">IF(COUNTIF(CU$12:CU$76,CU$82)&lt;ROW($A1),"",INDEX($CS$12:$CS$76,SMALL(IF(CU$12:CU$76=CU$82,ROW($CS$1:$CS$65)),ROW($A1))))</f>
        <v/>
      </c>
      <c r="CV83" s="96"/>
      <c r="CW83" s="96"/>
      <c r="CX83" s="96"/>
      <c r="DC83" s="261"/>
    </row>
    <row r="84" spans="32:107" ht="17.25" customHeight="1" x14ac:dyDescent="0.15">
      <c r="AF84" s="23"/>
      <c r="AR84" s="261"/>
      <c r="AS84" s="254"/>
      <c r="AT84" s="322" t="s">
        <v>284</v>
      </c>
      <c r="AY84" s="203">
        <f t="shared" si="112"/>
        <v>1</v>
      </c>
      <c r="AZ84" s="196" t="str">
        <f t="shared" si="117"/>
        <v xml:space="preserve"> --</v>
      </c>
      <c r="BA84" s="196">
        <f>BN18</f>
        <v>1</v>
      </c>
      <c r="BB84" s="177" t="str">
        <f>BT18</f>
        <v xml:space="preserve"> --</v>
      </c>
      <c r="BC84" s="23" t="str">
        <f t="shared" si="113"/>
        <v xml:space="preserve"> --</v>
      </c>
      <c r="BE84" s="204">
        <v>15</v>
      </c>
      <c r="BF84" s="196" t="str">
        <f>IF(集計!B19="","",集計!B19)</f>
        <v>笠原</v>
      </c>
      <c r="BG84" s="224" t="str">
        <f>IF(BF84="","",IF($BA$45=1,IF(ISNA(VLOOKUP(BF84,組合せﾃﾞｰﾀ!$AU$7:$AV$54,2,FALSE)),BF84,VLOOKUP(BF84,組合せﾃﾞｰﾀ!$AU$7:$AV$54,2,FALSE)),BF84))</f>
        <v>笠原</v>
      </c>
      <c r="BI84" s="179"/>
      <c r="BJ84" s="196" t="str">
        <f>組合せﾃﾞｰﾀ!$I19</f>
        <v>笠原</v>
      </c>
      <c r="BK84" s="224" t="str">
        <f>IF($BA$45=1,IF(ISNA(VLOOKUP(BJ84,組合せﾃﾞｰﾀ!$AU$7:$AV$54,2,FALSE)),BJ84,VLOOKUP(BJ84,組合せﾃﾞｰﾀ!$AU$7:$AV$54,2,FALSE)),BJ84)</f>
        <v>笠原</v>
      </c>
      <c r="BL84" s="23"/>
      <c r="BN84" s="205">
        <v>15</v>
      </c>
      <c r="BO84" s="524" t="str">
        <f t="shared" si="114"/>
        <v>笠原</v>
      </c>
      <c r="BP84" s="524" t="str">
        <f t="shared" si="121"/>
        <v>笠原</v>
      </c>
      <c r="BR84" s="96">
        <v>15</v>
      </c>
      <c r="BS84" s="206" t="str">
        <f t="shared" si="116"/>
        <v>笠原</v>
      </c>
      <c r="BU84" s="522">
        <f t="shared" si="118"/>
        <v>1</v>
      </c>
      <c r="BV84" s="196">
        <f>BB18</f>
        <v>1</v>
      </c>
      <c r="BW84" s="530" t="str">
        <f t="shared" si="119"/>
        <v xml:space="preserve"> --</v>
      </c>
      <c r="BX84" s="522">
        <f t="shared" si="120"/>
        <v>0</v>
      </c>
      <c r="CG84" s="95"/>
      <c r="CH84" s="183"/>
      <c r="CI84" s="183"/>
      <c r="CS84" s="183"/>
      <c r="CT84" s="196"/>
      <c r="CU84" s="659" t="str">
        <f t="array" ref="CU84">IF(COUNTIF(CU$12:CU$76,CU$82)&lt;ROW($A2),"",INDEX($CS$12:$CS$76,SMALL(IF(CU$12:CU$76=CU$82,ROW($CS$1:$CS$65)),ROW($A2))))</f>
        <v/>
      </c>
      <c r="CV84" s="96"/>
      <c r="CW84" s="96"/>
      <c r="CX84" s="96"/>
      <c r="DC84" s="261"/>
    </row>
    <row r="85" spans="32:107" ht="17.25" customHeight="1" x14ac:dyDescent="0.15">
      <c r="AR85" s="261"/>
      <c r="AS85" s="254"/>
      <c r="AT85" s="325" t="s">
        <v>500</v>
      </c>
      <c r="AY85" s="203">
        <f t="shared" si="112"/>
        <v>1</v>
      </c>
      <c r="AZ85" s="196" t="str">
        <f t="shared" si="117"/>
        <v xml:space="preserve"> --</v>
      </c>
      <c r="BA85" s="196">
        <f>BO18</f>
        <v>1</v>
      </c>
      <c r="BB85" s="177" t="str">
        <f>BU18</f>
        <v xml:space="preserve"> --</v>
      </c>
      <c r="BC85" s="23" t="str">
        <f t="shared" si="113"/>
        <v xml:space="preserve"> --</v>
      </c>
      <c r="BE85" s="204">
        <v>16</v>
      </c>
      <c r="BF85" s="196" t="str">
        <f>IF(集計!B20="","",集計!B20)</f>
        <v>勝田</v>
      </c>
      <c r="BG85" s="224" t="str">
        <f>IF(BF85="","",IF($BA$45=1,IF(ISNA(VLOOKUP(BF85,組合せﾃﾞｰﾀ!$AU$7:$AV$54,2,FALSE)),BF85,VLOOKUP(BF85,組合せﾃﾞｰﾀ!$AU$7:$AV$54,2,FALSE)),BF85))</f>
        <v>勝田</v>
      </c>
      <c r="BI85" s="179"/>
      <c r="BJ85" s="196" t="str">
        <f>組合せﾃﾞｰﾀ!$I20</f>
        <v>勝田</v>
      </c>
      <c r="BK85" s="224" t="str">
        <f>IF($BA$45=1,IF(ISNA(VLOOKUP(BJ85,組合せﾃﾞｰﾀ!$AU$7:$AV$54,2,FALSE)),BJ85,VLOOKUP(BJ85,組合せﾃﾞｰﾀ!$AU$7:$AV$54,2,FALSE)),BJ85)</f>
        <v>勝田</v>
      </c>
      <c r="BL85" s="23"/>
      <c r="BN85" s="205">
        <v>16</v>
      </c>
      <c r="BO85" s="524" t="str">
        <f t="shared" si="114"/>
        <v>勝田</v>
      </c>
      <c r="BP85" s="524" t="str">
        <f t="shared" si="121"/>
        <v>勝田</v>
      </c>
      <c r="BR85" s="96">
        <v>16</v>
      </c>
      <c r="BS85" s="206" t="str">
        <f t="shared" si="116"/>
        <v>勝田</v>
      </c>
      <c r="BU85" s="522">
        <f t="shared" si="118"/>
        <v>1</v>
      </c>
      <c r="BV85" s="196">
        <f>BC18</f>
        <v>1</v>
      </c>
      <c r="BW85" s="530" t="str">
        <f t="shared" si="119"/>
        <v xml:space="preserve"> --</v>
      </c>
      <c r="BX85" s="522">
        <f t="shared" si="120"/>
        <v>0</v>
      </c>
      <c r="CG85" s="95"/>
      <c r="CS85" s="183"/>
      <c r="CT85" s="196"/>
      <c r="CU85" s="659" t="str">
        <f t="array" ref="CU85">IF(COUNTIF(CU$12:CU$76,CU$82)&lt;ROW($A3),"",INDEX($CS$12:$CS$76,SMALL(IF(CU$12:CU$76=CU$82,ROW($CS$1:$CS$65)),ROW($A3))))</f>
        <v/>
      </c>
      <c r="CV85" s="96"/>
      <c r="CW85" s="96"/>
      <c r="CX85" s="96"/>
      <c r="DC85" s="261"/>
    </row>
    <row r="86" spans="32:107" ht="17.25" customHeight="1" x14ac:dyDescent="0.15">
      <c r="AR86" s="261"/>
      <c r="AY86" s="203">
        <f t="shared" si="112"/>
        <v>1</v>
      </c>
      <c r="AZ86" s="196" t="str">
        <f t="shared" si="117"/>
        <v xml:space="preserve"> --</v>
      </c>
      <c r="BA86" s="196">
        <f>BL20</f>
        <v>1</v>
      </c>
      <c r="BB86" s="177" t="str">
        <f>BR20</f>
        <v xml:space="preserve"> --</v>
      </c>
      <c r="BC86" s="23" t="str">
        <f t="shared" si="113"/>
        <v xml:space="preserve"> --</v>
      </c>
      <c r="BE86" s="204">
        <v>17</v>
      </c>
      <c r="BF86" s="196" t="str">
        <f>IF(集計!B21="","",集計!B21)</f>
        <v>神崎</v>
      </c>
      <c r="BG86" s="224" t="str">
        <f>IF(BF86="","",IF($BA$45=1,IF(ISNA(VLOOKUP(BF86,組合せﾃﾞｰﾀ!$AU$7:$AV$54,2,FALSE)),BF86,VLOOKUP(BF86,組合せﾃﾞｰﾀ!$AU$7:$AV$54,2,FALSE)),BF86))</f>
        <v>神崎</v>
      </c>
      <c r="BI86" s="179"/>
      <c r="BJ86" s="196" t="str">
        <f>組合せﾃﾞｰﾀ!$I21</f>
        <v>神崎</v>
      </c>
      <c r="BK86" s="224" t="str">
        <f>IF($BA$45=1,IF(ISNA(VLOOKUP(BJ86,組合せﾃﾞｰﾀ!$AU$7:$AV$54,2,FALSE)),BJ86,VLOOKUP(BJ86,組合せﾃﾞｰﾀ!$AU$7:$AV$54,2,FALSE)),BJ86)</f>
        <v>神崎</v>
      </c>
      <c r="BL86" s="23"/>
      <c r="BN86" s="205">
        <v>17</v>
      </c>
      <c r="BO86" s="524" t="str">
        <f t="shared" si="114"/>
        <v>神崎</v>
      </c>
      <c r="BP86" s="524" t="str">
        <f t="shared" si="121"/>
        <v>神崎</v>
      </c>
      <c r="BR86" s="96">
        <v>17</v>
      </c>
      <c r="BS86" s="206" t="str">
        <f t="shared" si="116"/>
        <v>神崎</v>
      </c>
      <c r="BU86" s="522">
        <f t="shared" si="118"/>
        <v>1</v>
      </c>
      <c r="BV86" s="196">
        <f>AZ20</f>
        <v>1</v>
      </c>
      <c r="BW86" s="530" t="str">
        <f t="shared" si="119"/>
        <v xml:space="preserve"> --</v>
      </c>
      <c r="BX86" s="522">
        <f t="shared" si="120"/>
        <v>0</v>
      </c>
      <c r="CG86" s="95"/>
      <c r="CS86" s="183"/>
      <c r="CU86" s="96"/>
      <c r="CV86" s="96"/>
      <c r="CW86" s="96"/>
      <c r="CX86" s="96"/>
      <c r="DC86" s="261"/>
    </row>
    <row r="87" spans="32:107" ht="17.25" customHeight="1" x14ac:dyDescent="0.15">
      <c r="AR87" s="261"/>
      <c r="AS87" s="254" t="s">
        <v>274</v>
      </c>
      <c r="AT87" s="254" t="s">
        <v>277</v>
      </c>
      <c r="AY87" s="203">
        <f t="shared" si="112"/>
        <v>1</v>
      </c>
      <c r="AZ87" s="196" t="str">
        <f t="shared" si="117"/>
        <v xml:space="preserve"> --</v>
      </c>
      <c r="BA87" s="196">
        <f>BM20</f>
        <v>1</v>
      </c>
      <c r="BB87" s="177" t="str">
        <f>BS20</f>
        <v xml:space="preserve"> --</v>
      </c>
      <c r="BC87" s="23" t="str">
        <f t="shared" si="113"/>
        <v xml:space="preserve"> --</v>
      </c>
      <c r="BE87" s="204">
        <v>18</v>
      </c>
      <c r="BF87" s="196" t="str">
        <f>IF(集計!B22="","",集計!B22)</f>
        <v>神林</v>
      </c>
      <c r="BG87" s="224" t="str">
        <f>IF(BF87="","",IF($BA$45=1,IF(ISNA(VLOOKUP(BF87,組合せﾃﾞｰﾀ!$AU$7:$AV$54,2,FALSE)),BF87,VLOOKUP(BF87,組合せﾃﾞｰﾀ!$AU$7:$AV$54,2,FALSE)),BF87))</f>
        <v>神林</v>
      </c>
      <c r="BI87" s="179"/>
      <c r="BJ87" s="196" t="str">
        <f>組合せﾃﾞｰﾀ!$I22</f>
        <v>神林</v>
      </c>
      <c r="BK87" s="224" t="str">
        <f>IF($BA$45=1,IF(ISNA(VLOOKUP(BJ87,組合せﾃﾞｰﾀ!$AU$7:$AV$54,2,FALSE)),BJ87,VLOOKUP(BJ87,組合せﾃﾞｰﾀ!$AU$7:$AV$54,2,FALSE)),BJ87)</f>
        <v>神林</v>
      </c>
      <c r="BL87" s="23"/>
      <c r="BN87" s="205">
        <v>18</v>
      </c>
      <c r="BO87" s="524" t="str">
        <f t="shared" si="114"/>
        <v>神林</v>
      </c>
      <c r="BP87" s="524" t="str">
        <f t="shared" si="121"/>
        <v>神林</v>
      </c>
      <c r="BR87" s="96">
        <v>18</v>
      </c>
      <c r="BS87" s="206" t="str">
        <f t="shared" si="116"/>
        <v>神林</v>
      </c>
      <c r="BU87" s="522">
        <f t="shared" si="118"/>
        <v>1</v>
      </c>
      <c r="BV87" s="196">
        <f>BA20</f>
        <v>1</v>
      </c>
      <c r="BW87" s="530" t="str">
        <f t="shared" si="119"/>
        <v xml:space="preserve"> --</v>
      </c>
      <c r="BX87" s="522">
        <f t="shared" si="120"/>
        <v>0</v>
      </c>
      <c r="CG87" s="95"/>
      <c r="CS87" s="183"/>
      <c r="CU87" s="96"/>
      <c r="CV87" s="96"/>
      <c r="CW87" s="96"/>
      <c r="CX87" s="96"/>
      <c r="DC87" s="261"/>
    </row>
    <row r="88" spans="32:107" ht="17.25" customHeight="1" x14ac:dyDescent="0.15">
      <c r="AR88" s="261"/>
      <c r="AS88" s="254"/>
      <c r="AT88" s="254"/>
      <c r="AY88" s="203">
        <f t="shared" si="112"/>
        <v>1</v>
      </c>
      <c r="AZ88" s="196" t="str">
        <f t="shared" si="117"/>
        <v xml:space="preserve"> --</v>
      </c>
      <c r="BA88" s="196">
        <f>BN20</f>
        <v>1</v>
      </c>
      <c r="BB88" s="177" t="str">
        <f>BT20</f>
        <v xml:space="preserve"> --</v>
      </c>
      <c r="BC88" s="23" t="str">
        <f t="shared" si="113"/>
        <v xml:space="preserve"> --</v>
      </c>
      <c r="BE88" s="204">
        <v>19</v>
      </c>
      <c r="BF88" s="196" t="str">
        <f>IF(集計!B23="","",集計!B23)</f>
        <v>君島</v>
      </c>
      <c r="BG88" s="224" t="str">
        <f>IF(BF88="","",IF($BA$45=1,IF(ISNA(VLOOKUP(BF88,組合せﾃﾞｰﾀ!$AU$7:$AV$54,2,FALSE)),BF88,VLOOKUP(BF88,組合せﾃﾞｰﾀ!$AU$7:$AV$54,2,FALSE)),BF88))</f>
        <v>君島</v>
      </c>
      <c r="BI88" s="179"/>
      <c r="BJ88" s="196" t="str">
        <f>組合せﾃﾞｰﾀ!$I23</f>
        <v>君島</v>
      </c>
      <c r="BK88" s="224" t="str">
        <f>IF($BA$45=1,IF(ISNA(VLOOKUP(BJ88,組合せﾃﾞｰﾀ!$AU$7:$AV$54,2,FALSE)),BJ88,VLOOKUP(BJ88,組合せﾃﾞｰﾀ!$AU$7:$AV$54,2,FALSE)),BJ88)</f>
        <v>君島</v>
      </c>
      <c r="BL88" s="23"/>
      <c r="BN88" s="205">
        <v>19</v>
      </c>
      <c r="BO88" s="524" t="str">
        <f t="shared" si="114"/>
        <v>君島</v>
      </c>
      <c r="BP88" s="524" t="str">
        <f t="shared" si="121"/>
        <v>君島</v>
      </c>
      <c r="BR88" s="96">
        <v>19</v>
      </c>
      <c r="BS88" s="206" t="str">
        <f t="shared" si="116"/>
        <v>君島</v>
      </c>
      <c r="BU88" s="522">
        <f t="shared" si="118"/>
        <v>1</v>
      </c>
      <c r="BV88" s="196">
        <f>BB20</f>
        <v>1</v>
      </c>
      <c r="BW88" s="530" t="str">
        <f t="shared" si="119"/>
        <v xml:space="preserve"> --</v>
      </c>
      <c r="BX88" s="522">
        <f t="shared" si="120"/>
        <v>0</v>
      </c>
      <c r="CG88" s="95"/>
      <c r="CS88" s="183"/>
      <c r="CU88" s="96"/>
      <c r="CV88" s="96"/>
      <c r="CW88" s="96"/>
      <c r="CX88" s="96"/>
      <c r="DC88" s="261"/>
    </row>
    <row r="89" spans="32:107" ht="17.25" customHeight="1" x14ac:dyDescent="0.15">
      <c r="AR89" s="261"/>
      <c r="AS89" s="254"/>
      <c r="AT89" s="254"/>
      <c r="AY89" s="203">
        <f t="shared" si="112"/>
        <v>1</v>
      </c>
      <c r="AZ89" s="196" t="str">
        <f t="shared" si="117"/>
        <v xml:space="preserve"> --</v>
      </c>
      <c r="BA89" s="196">
        <f>BO20</f>
        <v>1</v>
      </c>
      <c r="BB89" s="177" t="str">
        <f>BU20</f>
        <v xml:space="preserve"> --</v>
      </c>
      <c r="BC89" s="23" t="str">
        <f t="shared" si="113"/>
        <v xml:space="preserve"> --</v>
      </c>
      <c r="BE89" s="204">
        <v>20</v>
      </c>
      <c r="BF89" s="196" t="str">
        <f>IF(集計!B24="","",集計!B24)</f>
        <v>郷間</v>
      </c>
      <c r="BG89" s="224" t="str">
        <f>IF(BF89="","",IF($BA$45=1,IF(ISNA(VLOOKUP(BF89,組合せﾃﾞｰﾀ!$AU$7:$AV$54,2,FALSE)),BF89,VLOOKUP(BF89,組合せﾃﾞｰﾀ!$AU$7:$AV$54,2,FALSE)),BF89))</f>
        <v>郷間</v>
      </c>
      <c r="BI89" s="179"/>
      <c r="BJ89" s="196" t="str">
        <f>組合せﾃﾞｰﾀ!$I24</f>
        <v>郷間</v>
      </c>
      <c r="BK89" s="224" t="str">
        <f>IF($BA$45=1,IF(ISNA(VLOOKUP(BJ89,組合せﾃﾞｰﾀ!$AU$7:$AV$54,2,FALSE)),BJ89,VLOOKUP(BJ89,組合せﾃﾞｰﾀ!$AU$7:$AV$54,2,FALSE)),BJ89)</f>
        <v>郷間</v>
      </c>
      <c r="BL89" s="23"/>
      <c r="BN89" s="205">
        <v>20</v>
      </c>
      <c r="BO89" s="524" t="str">
        <f t="shared" si="114"/>
        <v>郷間</v>
      </c>
      <c r="BP89" s="524" t="str">
        <f t="shared" si="121"/>
        <v>郷間</v>
      </c>
      <c r="BR89" s="96">
        <v>20</v>
      </c>
      <c r="BS89" s="206" t="str">
        <f t="shared" si="116"/>
        <v>郷間</v>
      </c>
      <c r="BU89" s="522">
        <f t="shared" si="118"/>
        <v>1</v>
      </c>
      <c r="BV89" s="196">
        <f>BC20</f>
        <v>1</v>
      </c>
      <c r="BW89" s="530" t="str">
        <f t="shared" si="119"/>
        <v xml:space="preserve"> --</v>
      </c>
      <c r="BX89" s="522">
        <f t="shared" si="120"/>
        <v>0</v>
      </c>
      <c r="CG89" s="95"/>
      <c r="CS89" s="183"/>
      <c r="CU89" s="96"/>
      <c r="CV89" s="96"/>
      <c r="CW89" s="96"/>
      <c r="CX89" s="96"/>
      <c r="DC89" s="261"/>
    </row>
    <row r="90" spans="32:107" ht="17.25" customHeight="1" x14ac:dyDescent="0.15">
      <c r="AR90" s="261"/>
      <c r="AS90" s="254"/>
      <c r="AT90" s="254"/>
      <c r="AY90" s="203">
        <f t="shared" si="112"/>
        <v>1</v>
      </c>
      <c r="AZ90" s="196" t="str">
        <f t="shared" si="117"/>
        <v xml:space="preserve"> --</v>
      </c>
      <c r="BA90" s="196">
        <f>BL22</f>
        <v>1</v>
      </c>
      <c r="BB90" s="177" t="str">
        <f>BR22</f>
        <v xml:space="preserve"> --</v>
      </c>
      <c r="BC90" s="23" t="str">
        <f t="shared" si="113"/>
        <v xml:space="preserve"> --</v>
      </c>
      <c r="BE90" s="204">
        <v>21</v>
      </c>
      <c r="BF90" s="196" t="str">
        <f>IF(集計!B25="","",集計!B25)</f>
        <v>小林邦</v>
      </c>
      <c r="BG90" s="224" t="str">
        <f>IF(BF90="","",IF($BA$45=1,IF(ISNA(VLOOKUP(BF90,組合せﾃﾞｰﾀ!$AU$7:$AV$54,2,FALSE)),BF90,VLOOKUP(BF90,組合せﾃﾞｰﾀ!$AU$7:$AV$54,2,FALSE)),BF90))</f>
        <v>小林邦</v>
      </c>
      <c r="BI90" s="179"/>
      <c r="BJ90" s="196" t="str">
        <f>組合せﾃﾞｰﾀ!$I25</f>
        <v>小林邦</v>
      </c>
      <c r="BK90" s="224" t="str">
        <f>IF($BA$45=1,IF(ISNA(VLOOKUP(BJ90,組合せﾃﾞｰﾀ!$AU$7:$AV$54,2,FALSE)),BJ90,VLOOKUP(BJ90,組合せﾃﾞｰﾀ!$AU$7:$AV$54,2,FALSE)),BJ90)</f>
        <v>小林邦</v>
      </c>
      <c r="BL90" s="23"/>
      <c r="BN90" s="205">
        <v>21</v>
      </c>
      <c r="BO90" s="524" t="str">
        <f t="shared" si="114"/>
        <v>小林邦</v>
      </c>
      <c r="BP90" s="524" t="str">
        <f t="shared" si="121"/>
        <v>小林邦</v>
      </c>
      <c r="BR90" s="96">
        <v>21</v>
      </c>
      <c r="BS90" s="206" t="str">
        <f t="shared" si="116"/>
        <v>小林邦</v>
      </c>
      <c r="BU90" s="522">
        <f t="shared" si="118"/>
        <v>1</v>
      </c>
      <c r="BV90" s="196">
        <f>AZ22</f>
        <v>1</v>
      </c>
      <c r="BW90" s="530" t="str">
        <f t="shared" si="119"/>
        <v xml:space="preserve"> --</v>
      </c>
      <c r="BX90" s="522">
        <f t="shared" si="120"/>
        <v>0</v>
      </c>
      <c r="CG90" s="95"/>
      <c r="CS90" s="183"/>
      <c r="CU90" s="96"/>
      <c r="CV90" s="96"/>
      <c r="CW90" s="96"/>
      <c r="CX90" s="96"/>
      <c r="DC90" s="261"/>
    </row>
    <row r="91" spans="32:107" ht="17.25" customHeight="1" x14ac:dyDescent="0.15">
      <c r="AR91" s="261"/>
      <c r="AS91" s="254"/>
      <c r="AT91" s="254"/>
      <c r="AY91" s="203">
        <f t="shared" si="112"/>
        <v>1</v>
      </c>
      <c r="AZ91" s="196" t="str">
        <f t="shared" si="117"/>
        <v xml:space="preserve"> --</v>
      </c>
      <c r="BA91" s="196">
        <f>BM22</f>
        <v>1</v>
      </c>
      <c r="BB91" s="177" t="str">
        <f>BS22</f>
        <v xml:space="preserve"> --</v>
      </c>
      <c r="BC91" s="23" t="str">
        <f t="shared" si="113"/>
        <v xml:space="preserve"> --</v>
      </c>
      <c r="BE91" s="204">
        <v>22</v>
      </c>
      <c r="BF91" s="196" t="str">
        <f>IF(集計!B26="","",集計!B26)</f>
        <v>小林修</v>
      </c>
      <c r="BG91" s="224" t="str">
        <f>IF(BF91="","",IF($BA$45=1,IF(ISNA(VLOOKUP(BF91,組合せﾃﾞｰﾀ!$AU$7:$AV$54,2,FALSE)),BF91,VLOOKUP(BF91,組合せﾃﾞｰﾀ!$AU$7:$AV$54,2,FALSE)),BF91))</f>
        <v>小林修</v>
      </c>
      <c r="BI91" s="179"/>
      <c r="BJ91" s="196" t="str">
        <f>組合せﾃﾞｰﾀ!$I26</f>
        <v>小林修</v>
      </c>
      <c r="BK91" s="224" t="str">
        <f>IF($BA$45=1,IF(ISNA(VLOOKUP(BJ91,組合せﾃﾞｰﾀ!$AU$7:$AV$54,2,FALSE)),BJ91,VLOOKUP(BJ91,組合せﾃﾞｰﾀ!$AU$7:$AV$54,2,FALSE)),BJ91)</f>
        <v>小林修</v>
      </c>
      <c r="BL91" s="23"/>
      <c r="BN91" s="205">
        <v>22</v>
      </c>
      <c r="BO91" s="524" t="str">
        <f t="shared" si="114"/>
        <v>小林修</v>
      </c>
      <c r="BP91" s="524" t="str">
        <f t="shared" si="121"/>
        <v>小林修</v>
      </c>
      <c r="BR91" s="96">
        <v>22</v>
      </c>
      <c r="BS91" s="206" t="str">
        <f t="shared" si="116"/>
        <v>小林修</v>
      </c>
      <c r="BU91" s="522">
        <f t="shared" si="118"/>
        <v>1</v>
      </c>
      <c r="BV91" s="196">
        <f>BA22</f>
        <v>1</v>
      </c>
      <c r="BW91" s="530" t="str">
        <f t="shared" si="119"/>
        <v xml:space="preserve"> --</v>
      </c>
      <c r="BX91" s="522">
        <f t="shared" si="120"/>
        <v>0</v>
      </c>
      <c r="CG91" s="95"/>
      <c r="CS91" s="183"/>
      <c r="CU91" s="96"/>
      <c r="CV91" s="96"/>
      <c r="CW91" s="96"/>
      <c r="CX91" s="96"/>
      <c r="DC91" s="261"/>
    </row>
    <row r="92" spans="32:107" ht="17.25" customHeight="1" x14ac:dyDescent="0.15">
      <c r="AR92" s="261"/>
      <c r="AS92" s="254"/>
      <c r="AT92" s="254"/>
      <c r="AY92" s="203">
        <f t="shared" si="112"/>
        <v>1</v>
      </c>
      <c r="AZ92" s="196" t="str">
        <f t="shared" si="117"/>
        <v xml:space="preserve"> --</v>
      </c>
      <c r="BA92" s="196">
        <f>BN22</f>
        <v>1</v>
      </c>
      <c r="BB92" s="177" t="str">
        <f>BT22</f>
        <v xml:space="preserve"> --</v>
      </c>
      <c r="BC92" s="23" t="str">
        <f t="shared" si="113"/>
        <v xml:space="preserve"> --</v>
      </c>
      <c r="BE92" s="204">
        <v>23</v>
      </c>
      <c r="BF92" s="196" t="str">
        <f>IF(集計!B27="","",集計!B27)</f>
        <v>小和瀬</v>
      </c>
      <c r="BG92" s="224" t="str">
        <f>IF(BF92="","",IF($BA$45=1,IF(ISNA(VLOOKUP(BF92,組合せﾃﾞｰﾀ!$AU$7:$AV$54,2,FALSE)),BF92,VLOOKUP(BF92,組合せﾃﾞｰﾀ!$AU$7:$AV$54,2,FALSE)),BF92))</f>
        <v>小和瀬</v>
      </c>
      <c r="BI92" s="179"/>
      <c r="BJ92" s="196" t="str">
        <f>組合せﾃﾞｰﾀ!$I27</f>
        <v>小和瀬</v>
      </c>
      <c r="BK92" s="224" t="str">
        <f>IF($BA$45=1,IF(ISNA(VLOOKUP(BJ92,組合せﾃﾞｰﾀ!$AU$7:$AV$54,2,FALSE)),BJ92,VLOOKUP(BJ92,組合せﾃﾞｰﾀ!$AU$7:$AV$54,2,FALSE)),BJ92)</f>
        <v>小和瀬</v>
      </c>
      <c r="BL92" s="23"/>
      <c r="BN92" s="205">
        <v>23</v>
      </c>
      <c r="BO92" s="524" t="str">
        <f t="shared" si="114"/>
        <v>小和瀬</v>
      </c>
      <c r="BP92" s="524" t="str">
        <f t="shared" si="121"/>
        <v>小和瀬</v>
      </c>
      <c r="BR92" s="96">
        <v>23</v>
      </c>
      <c r="BS92" s="206" t="str">
        <f t="shared" si="116"/>
        <v>小和瀬</v>
      </c>
      <c r="BU92" s="522">
        <f t="shared" si="118"/>
        <v>1</v>
      </c>
      <c r="BV92" s="196">
        <f>BB22</f>
        <v>1</v>
      </c>
      <c r="BW92" s="530" t="str">
        <f t="shared" si="119"/>
        <v xml:space="preserve"> --</v>
      </c>
      <c r="BX92" s="522">
        <f t="shared" si="120"/>
        <v>0</v>
      </c>
      <c r="CG92" s="95"/>
      <c r="CS92" s="183"/>
      <c r="CU92" s="96"/>
      <c r="CV92" s="96"/>
      <c r="CW92" s="96"/>
      <c r="CX92" s="96"/>
      <c r="DC92" s="261"/>
    </row>
    <row r="93" spans="32:107" ht="17.25" customHeight="1" x14ac:dyDescent="0.15">
      <c r="AR93" s="261"/>
      <c r="AY93" s="203">
        <f t="shared" si="112"/>
        <v>1</v>
      </c>
      <c r="AZ93" s="196" t="str">
        <f t="shared" si="117"/>
        <v xml:space="preserve"> --</v>
      </c>
      <c r="BA93" s="196">
        <f>BO22</f>
        <v>1</v>
      </c>
      <c r="BB93" s="177" t="str">
        <f>BU22</f>
        <v xml:space="preserve"> --</v>
      </c>
      <c r="BC93" s="23" t="str">
        <f t="shared" si="113"/>
        <v xml:space="preserve"> --</v>
      </c>
      <c r="BE93" s="204">
        <v>24</v>
      </c>
      <c r="BF93" s="196" t="str">
        <f>IF(集計!B28="","",集計!B28)</f>
        <v>近藤静</v>
      </c>
      <c r="BG93" s="224" t="str">
        <f>IF(BF93="","",IF($BA$45=1,IF(ISNA(VLOOKUP(BF93,組合せﾃﾞｰﾀ!$AU$7:$AV$54,2,FALSE)),BF93,VLOOKUP(BF93,組合せﾃﾞｰﾀ!$AU$7:$AV$54,2,FALSE)),BF93))</f>
        <v>近藤静</v>
      </c>
      <c r="BI93" s="179"/>
      <c r="BJ93" s="196" t="str">
        <f>組合せﾃﾞｰﾀ!$I28</f>
        <v>近藤静</v>
      </c>
      <c r="BK93" s="224" t="str">
        <f>IF($BA$45=1,IF(ISNA(VLOOKUP(BJ93,組合せﾃﾞｰﾀ!$AU$7:$AV$54,2,FALSE)),BJ93,VLOOKUP(BJ93,組合せﾃﾞｰﾀ!$AU$7:$AV$54,2,FALSE)),BJ93)</f>
        <v>近藤静</v>
      </c>
      <c r="BL93" s="23"/>
      <c r="BN93" s="205">
        <v>24</v>
      </c>
      <c r="BO93" s="524" t="str">
        <f t="shared" si="114"/>
        <v>近藤静</v>
      </c>
      <c r="BP93" s="524" t="str">
        <f t="shared" si="121"/>
        <v>近藤静</v>
      </c>
      <c r="BR93" s="96">
        <v>24</v>
      </c>
      <c r="BS93" s="206" t="str">
        <f t="shared" si="116"/>
        <v>近藤静</v>
      </c>
      <c r="BU93" s="522">
        <f t="shared" si="118"/>
        <v>1</v>
      </c>
      <c r="BV93" s="196">
        <f>BC22</f>
        <v>1</v>
      </c>
      <c r="BW93" s="530" t="str">
        <f t="shared" si="119"/>
        <v xml:space="preserve"> --</v>
      </c>
      <c r="BX93" s="522">
        <f t="shared" si="120"/>
        <v>0</v>
      </c>
      <c r="CG93" s="95"/>
      <c r="CS93" s="183"/>
      <c r="CU93" s="96"/>
      <c r="CV93" s="96"/>
      <c r="CW93" s="96"/>
      <c r="CX93" s="96"/>
      <c r="DC93" s="261"/>
    </row>
    <row r="94" spans="32:107" ht="17.25" customHeight="1" x14ac:dyDescent="0.15">
      <c r="AR94" s="261"/>
      <c r="AS94" s="254" t="s">
        <v>275</v>
      </c>
      <c r="AT94" s="254" t="s">
        <v>277</v>
      </c>
      <c r="AY94" s="203">
        <f t="shared" si="112"/>
        <v>1</v>
      </c>
      <c r="AZ94" s="196" t="str">
        <f t="shared" si="117"/>
        <v xml:space="preserve"> --</v>
      </c>
      <c r="BA94" s="196">
        <f>BL24</f>
        <v>1</v>
      </c>
      <c r="BB94" s="177" t="str">
        <f>BR24</f>
        <v xml:space="preserve"> --</v>
      </c>
      <c r="BC94" s="23" t="str">
        <f t="shared" si="113"/>
        <v xml:space="preserve"> --</v>
      </c>
      <c r="BE94" s="204">
        <v>25</v>
      </c>
      <c r="BF94" s="196" t="str">
        <f>IF(集計!B29="","",集計!B29)</f>
        <v>近藤裕</v>
      </c>
      <c r="BG94" s="224" t="str">
        <f>IF(BF94="","",IF($BA$45=1,IF(ISNA(VLOOKUP(BF94,組合せﾃﾞｰﾀ!$AU$7:$AV$54,2,FALSE)),BF94,VLOOKUP(BF94,組合せﾃﾞｰﾀ!$AU$7:$AV$54,2,FALSE)),BF94))</f>
        <v>近藤裕</v>
      </c>
      <c r="BI94" s="179"/>
      <c r="BJ94" s="196" t="str">
        <f>組合せﾃﾞｰﾀ!$I29</f>
        <v>近藤裕</v>
      </c>
      <c r="BK94" s="224" t="str">
        <f>IF($BA$45=1,IF(ISNA(VLOOKUP(BJ94,組合せﾃﾞｰﾀ!$AU$7:$AV$54,2,FALSE)),BJ94,VLOOKUP(BJ94,組合せﾃﾞｰﾀ!$AU$7:$AV$54,2,FALSE)),BJ94)</f>
        <v>近藤裕</v>
      </c>
      <c r="BL94" s="23"/>
      <c r="BN94" s="205">
        <v>25</v>
      </c>
      <c r="BO94" s="524" t="str">
        <f t="shared" si="114"/>
        <v>近藤裕</v>
      </c>
      <c r="BP94" s="524" t="str">
        <f t="shared" si="121"/>
        <v>近藤裕</v>
      </c>
      <c r="BR94" s="96">
        <v>25</v>
      </c>
      <c r="BS94" s="206" t="str">
        <f t="shared" si="116"/>
        <v>近藤裕</v>
      </c>
      <c r="BU94" s="522">
        <f t="shared" si="118"/>
        <v>1</v>
      </c>
      <c r="BV94" s="196">
        <f>AZ24</f>
        <v>1</v>
      </c>
      <c r="BW94" s="530" t="str">
        <f t="shared" si="119"/>
        <v xml:space="preserve"> --</v>
      </c>
      <c r="BX94" s="522">
        <f t="shared" si="120"/>
        <v>0</v>
      </c>
      <c r="CG94" s="95"/>
      <c r="CS94" s="183"/>
      <c r="CU94" s="96"/>
      <c r="CV94" s="96"/>
      <c r="CW94" s="96"/>
      <c r="CX94" s="96"/>
      <c r="DC94" s="261"/>
    </row>
    <row r="95" spans="32:107" ht="17.25" customHeight="1" x14ac:dyDescent="0.15">
      <c r="AR95" s="261"/>
      <c r="AS95" s="254"/>
      <c r="AT95" s="254"/>
      <c r="AY95" s="203">
        <f t="shared" si="112"/>
        <v>1</v>
      </c>
      <c r="AZ95" s="196" t="str">
        <f t="shared" si="117"/>
        <v xml:space="preserve"> --</v>
      </c>
      <c r="BA95" s="196">
        <f>BM24</f>
        <v>1</v>
      </c>
      <c r="BB95" s="177" t="str">
        <f>BS24</f>
        <v xml:space="preserve"> --</v>
      </c>
      <c r="BC95" s="23" t="str">
        <f t="shared" si="113"/>
        <v xml:space="preserve"> --</v>
      </c>
      <c r="BE95" s="204">
        <v>26</v>
      </c>
      <c r="BF95" s="196" t="str">
        <f>IF(集計!B30="","",集計!B30)</f>
        <v>坂本</v>
      </c>
      <c r="BG95" s="224" t="str">
        <f>IF(BF95="","",IF($BA$45=1,IF(ISNA(VLOOKUP(BF95,組合せﾃﾞｰﾀ!$AU$7:$AV$54,2,FALSE)),BF95,VLOOKUP(BF95,組合せﾃﾞｰﾀ!$AU$7:$AV$54,2,FALSE)),BF95))</f>
        <v>坂本</v>
      </c>
      <c r="BI95" s="179"/>
      <c r="BJ95" s="196" t="str">
        <f>組合せﾃﾞｰﾀ!$I30</f>
        <v>坂本</v>
      </c>
      <c r="BK95" s="224" t="str">
        <f>IF($BA$45=1,IF(ISNA(VLOOKUP(BJ95,組合せﾃﾞｰﾀ!$AU$7:$AV$54,2,FALSE)),BJ95,VLOOKUP(BJ95,組合せﾃﾞｰﾀ!$AU$7:$AV$54,2,FALSE)),BJ95)</f>
        <v>坂本</v>
      </c>
      <c r="BL95" s="23"/>
      <c r="BN95" s="205">
        <v>26</v>
      </c>
      <c r="BO95" s="524" t="str">
        <f t="shared" si="114"/>
        <v>坂本</v>
      </c>
      <c r="BP95" s="524" t="str">
        <f t="shared" si="121"/>
        <v>坂本</v>
      </c>
      <c r="BR95" s="96">
        <v>26</v>
      </c>
      <c r="BS95" s="206" t="str">
        <f t="shared" si="116"/>
        <v>坂本</v>
      </c>
      <c r="BU95" s="522">
        <f t="shared" si="118"/>
        <v>1</v>
      </c>
      <c r="BV95" s="196">
        <f>BA24</f>
        <v>1</v>
      </c>
      <c r="BW95" s="530" t="str">
        <f t="shared" si="119"/>
        <v xml:space="preserve"> --</v>
      </c>
      <c r="BX95" s="522">
        <f t="shared" si="120"/>
        <v>0</v>
      </c>
      <c r="CG95" s="95"/>
      <c r="CS95" s="183"/>
      <c r="CU95" s="96"/>
      <c r="CV95" s="96"/>
      <c r="CW95" s="96"/>
      <c r="CX95" s="96"/>
      <c r="DC95" s="261"/>
    </row>
    <row r="96" spans="32:107" ht="17.25" customHeight="1" x14ac:dyDescent="0.15">
      <c r="AR96" s="261"/>
      <c r="AS96" s="254"/>
      <c r="AT96" s="254"/>
      <c r="AY96" s="203">
        <f t="shared" si="112"/>
        <v>1</v>
      </c>
      <c r="AZ96" s="196" t="str">
        <f t="shared" si="117"/>
        <v xml:space="preserve"> --</v>
      </c>
      <c r="BA96" s="196">
        <f>BN24</f>
        <v>1</v>
      </c>
      <c r="BB96" s="177" t="str">
        <f>BT24</f>
        <v xml:space="preserve"> --</v>
      </c>
      <c r="BC96" s="23" t="str">
        <f t="shared" si="113"/>
        <v xml:space="preserve"> --</v>
      </c>
      <c r="BE96" s="204">
        <v>27</v>
      </c>
      <c r="BF96" s="196" t="str">
        <f>IF(集計!B31="","",集計!B31)</f>
        <v>佐藤清</v>
      </c>
      <c r="BG96" s="224" t="str">
        <f>IF(BF96="","",IF($BA$45=1,IF(ISNA(VLOOKUP(BF96,組合せﾃﾞｰﾀ!$AU$7:$AV$54,2,FALSE)),BF96,VLOOKUP(BF96,組合せﾃﾞｰﾀ!$AU$7:$AV$54,2,FALSE)),BF96))</f>
        <v>佐藤清</v>
      </c>
      <c r="BI96" s="179"/>
      <c r="BJ96" s="196" t="str">
        <f>組合せﾃﾞｰﾀ!$I31</f>
        <v>佐藤清</v>
      </c>
      <c r="BK96" s="224" t="str">
        <f>IF($BA$45=1,IF(ISNA(VLOOKUP(BJ96,組合せﾃﾞｰﾀ!$AU$7:$AV$54,2,FALSE)),BJ96,VLOOKUP(BJ96,組合せﾃﾞｰﾀ!$AU$7:$AV$54,2,FALSE)),BJ96)</f>
        <v>佐藤清</v>
      </c>
      <c r="BL96" s="23"/>
      <c r="BN96" s="205">
        <v>27</v>
      </c>
      <c r="BO96" s="524" t="str">
        <f t="shared" si="114"/>
        <v>佐藤清</v>
      </c>
      <c r="BP96" s="524" t="str">
        <f t="shared" si="121"/>
        <v>佐藤清</v>
      </c>
      <c r="BR96" s="96">
        <v>27</v>
      </c>
      <c r="BS96" s="206" t="str">
        <f t="shared" si="116"/>
        <v>佐藤清</v>
      </c>
      <c r="BU96" s="522">
        <f t="shared" si="118"/>
        <v>1</v>
      </c>
      <c r="BV96" s="196">
        <f>BB24</f>
        <v>1</v>
      </c>
      <c r="BW96" s="530" t="str">
        <f t="shared" si="119"/>
        <v xml:space="preserve"> --</v>
      </c>
      <c r="BX96" s="522">
        <f t="shared" si="120"/>
        <v>0</v>
      </c>
      <c r="CG96" s="95"/>
      <c r="CS96" s="183"/>
      <c r="CU96" s="96"/>
      <c r="CV96" s="96"/>
      <c r="CW96" s="96"/>
      <c r="CX96" s="96"/>
      <c r="DC96" s="261"/>
    </row>
    <row r="97" spans="44:107" ht="17.25" customHeight="1" x14ac:dyDescent="0.15">
      <c r="AR97" s="261"/>
      <c r="AS97" s="254"/>
      <c r="AT97" s="254"/>
      <c r="AY97" s="203">
        <f t="shared" si="112"/>
        <v>1</v>
      </c>
      <c r="AZ97" s="196" t="str">
        <f t="shared" si="117"/>
        <v xml:space="preserve"> --</v>
      </c>
      <c r="BA97" s="196">
        <f>BO24</f>
        <v>1</v>
      </c>
      <c r="BB97" s="177" t="str">
        <f>BU24</f>
        <v xml:space="preserve"> --</v>
      </c>
      <c r="BC97" s="23" t="str">
        <f t="shared" si="113"/>
        <v xml:space="preserve"> --</v>
      </c>
      <c r="BE97" s="204">
        <v>28</v>
      </c>
      <c r="BF97" s="196" t="str">
        <f>IF(集計!B32="","",集計!B32)</f>
        <v>里中</v>
      </c>
      <c r="BG97" s="224" t="str">
        <f>IF(BF97="","",IF($BA$45=1,IF(ISNA(VLOOKUP(BF97,組合せﾃﾞｰﾀ!$AU$7:$AV$54,2,FALSE)),BF97,VLOOKUP(BF97,組合せﾃﾞｰﾀ!$AU$7:$AV$54,2,FALSE)),BF97))</f>
        <v>里中</v>
      </c>
      <c r="BI97" s="179"/>
      <c r="BJ97" s="196" t="str">
        <f>組合せﾃﾞｰﾀ!$I32</f>
        <v>里中</v>
      </c>
      <c r="BK97" s="224" t="str">
        <f>IF($BA$45=1,IF(ISNA(VLOOKUP(BJ97,組合せﾃﾞｰﾀ!$AU$7:$AV$54,2,FALSE)),BJ97,VLOOKUP(BJ97,組合せﾃﾞｰﾀ!$AU$7:$AV$54,2,FALSE)),BJ97)</f>
        <v>里中</v>
      </c>
      <c r="BL97" s="23"/>
      <c r="BN97" s="205">
        <v>28</v>
      </c>
      <c r="BO97" s="524" t="str">
        <f t="shared" si="114"/>
        <v>里中</v>
      </c>
      <c r="BP97" s="524" t="str">
        <f t="shared" si="121"/>
        <v>里中</v>
      </c>
      <c r="BR97" s="96">
        <v>28</v>
      </c>
      <c r="BS97" s="206" t="str">
        <f t="shared" si="116"/>
        <v>里中</v>
      </c>
      <c r="BU97" s="522">
        <f t="shared" si="118"/>
        <v>1</v>
      </c>
      <c r="BV97" s="196">
        <f>BC24</f>
        <v>1</v>
      </c>
      <c r="BW97" s="530" t="str">
        <f t="shared" si="119"/>
        <v xml:space="preserve"> --</v>
      </c>
      <c r="BX97" s="522">
        <f t="shared" si="120"/>
        <v>0</v>
      </c>
      <c r="CG97" s="95"/>
      <c r="CS97" s="183"/>
      <c r="CU97" s="96"/>
      <c r="CV97" s="96"/>
      <c r="CW97" s="96"/>
      <c r="CX97" s="96"/>
      <c r="DC97" s="261"/>
    </row>
    <row r="98" spans="44:107" ht="17.25" customHeight="1" x14ac:dyDescent="0.15">
      <c r="AR98" s="261"/>
      <c r="AS98" s="254"/>
      <c r="AT98" s="254"/>
      <c r="AY98" s="203">
        <f t="shared" si="112"/>
        <v>1</v>
      </c>
      <c r="AZ98" s="196" t="str">
        <f t="shared" si="117"/>
        <v xml:space="preserve"> --</v>
      </c>
      <c r="BA98" s="196">
        <f>BL26</f>
        <v>1</v>
      </c>
      <c r="BB98" s="177" t="str">
        <f>BR26</f>
        <v xml:space="preserve"> --</v>
      </c>
      <c r="BC98" s="23" t="str">
        <f t="shared" si="113"/>
        <v xml:space="preserve"> --</v>
      </c>
      <c r="BE98" s="204">
        <v>29</v>
      </c>
      <c r="BF98" s="196" t="str">
        <f>IF(集計!B33="","",集計!B33)</f>
        <v>佐土原</v>
      </c>
      <c r="BG98" s="224" t="str">
        <f>IF(BF98="","",IF($BA$45=1,IF(ISNA(VLOOKUP(BF98,組合せﾃﾞｰﾀ!$AU$7:$AV$54,2,FALSE)),BF98,VLOOKUP(BF98,組合せﾃﾞｰﾀ!$AU$7:$AV$54,2,FALSE)),BF98))</f>
        <v>佐土原</v>
      </c>
      <c r="BI98" s="179"/>
      <c r="BJ98" s="196" t="str">
        <f>組合せﾃﾞｰﾀ!$I33</f>
        <v>佐土原</v>
      </c>
      <c r="BK98" s="224" t="str">
        <f>IF($BA$45=1,IF(ISNA(VLOOKUP(BJ98,組合せﾃﾞｰﾀ!$AU$7:$AV$54,2,FALSE)),BJ98,VLOOKUP(BJ98,組合せﾃﾞｰﾀ!$AU$7:$AV$54,2,FALSE)),BJ98)</f>
        <v>佐土原</v>
      </c>
      <c r="BL98" s="23"/>
      <c r="BN98" s="205">
        <v>29</v>
      </c>
      <c r="BO98" s="524" t="str">
        <f t="shared" si="114"/>
        <v>佐土原</v>
      </c>
      <c r="BP98" s="524" t="str">
        <f t="shared" si="121"/>
        <v>佐土原</v>
      </c>
      <c r="BR98" s="96">
        <v>29</v>
      </c>
      <c r="BS98" s="206" t="str">
        <f t="shared" si="116"/>
        <v>佐土原</v>
      </c>
      <c r="BU98" s="522">
        <f t="shared" si="118"/>
        <v>1</v>
      </c>
      <c r="BV98" s="196">
        <f>AZ26</f>
        <v>1</v>
      </c>
      <c r="BW98" s="530" t="str">
        <f t="shared" si="119"/>
        <v xml:space="preserve"> --</v>
      </c>
      <c r="BX98" s="522">
        <f t="shared" si="120"/>
        <v>0</v>
      </c>
      <c r="CG98" s="95"/>
      <c r="CS98" s="183"/>
      <c r="CU98" s="96"/>
      <c r="CV98" s="96"/>
      <c r="CW98" s="96"/>
      <c r="CX98" s="96"/>
      <c r="DC98" s="261"/>
    </row>
    <row r="99" spans="44:107" ht="17.25" customHeight="1" x14ac:dyDescent="0.15">
      <c r="AR99" s="261"/>
      <c r="AS99" s="254"/>
      <c r="AT99" s="254"/>
      <c r="AY99" s="203">
        <f t="shared" si="112"/>
        <v>1</v>
      </c>
      <c r="AZ99" s="196" t="str">
        <f t="shared" si="117"/>
        <v xml:space="preserve"> --</v>
      </c>
      <c r="BA99" s="196">
        <f>BM26</f>
        <v>1</v>
      </c>
      <c r="BB99" s="177" t="str">
        <f>BS26</f>
        <v xml:space="preserve"> --</v>
      </c>
      <c r="BC99" s="23" t="str">
        <f t="shared" si="113"/>
        <v xml:space="preserve"> --</v>
      </c>
      <c r="BE99" s="204">
        <v>30</v>
      </c>
      <c r="BF99" s="196" t="str">
        <f>IF(集計!B34="","",集計!B34)</f>
        <v>塩崎</v>
      </c>
      <c r="BG99" s="224" t="str">
        <f>IF(BF99="","",IF($BA$45=1,IF(ISNA(VLOOKUP(BF99,組合せﾃﾞｰﾀ!$AU$7:$AV$54,2,FALSE)),BF99,VLOOKUP(BF99,組合せﾃﾞｰﾀ!$AU$7:$AV$54,2,FALSE)),BF99))</f>
        <v>塩崎</v>
      </c>
      <c r="BI99" s="179"/>
      <c r="BJ99" s="196" t="str">
        <f>組合せﾃﾞｰﾀ!$I34</f>
        <v>塩崎</v>
      </c>
      <c r="BK99" s="224" t="str">
        <f>IF($BA$45=1,IF(ISNA(VLOOKUP(BJ99,組合せﾃﾞｰﾀ!$AU$7:$AV$54,2,FALSE)),BJ99,VLOOKUP(BJ99,組合せﾃﾞｰﾀ!$AU$7:$AV$54,2,FALSE)),BJ99)</f>
        <v>塩崎</v>
      </c>
      <c r="BL99" s="23"/>
      <c r="BN99" s="205">
        <v>30</v>
      </c>
      <c r="BO99" s="524" t="str">
        <f t="shared" si="114"/>
        <v>塩崎</v>
      </c>
      <c r="BP99" s="524" t="str">
        <f t="shared" si="121"/>
        <v>塩崎</v>
      </c>
      <c r="BR99" s="96">
        <v>30</v>
      </c>
      <c r="BS99" s="206" t="str">
        <f t="shared" si="116"/>
        <v>塩崎</v>
      </c>
      <c r="BU99" s="522">
        <f t="shared" si="118"/>
        <v>1</v>
      </c>
      <c r="BV99" s="196">
        <f>BA26</f>
        <v>1</v>
      </c>
      <c r="BW99" s="530" t="str">
        <f t="shared" si="119"/>
        <v xml:space="preserve"> --</v>
      </c>
      <c r="BX99" s="522">
        <f t="shared" si="120"/>
        <v>0</v>
      </c>
      <c r="BY99" s="193"/>
      <c r="CG99" s="95"/>
      <c r="CS99" s="183"/>
      <c r="CU99" s="96"/>
      <c r="CV99" s="96"/>
      <c r="CW99" s="96"/>
      <c r="CX99" s="96"/>
      <c r="DC99" s="261"/>
    </row>
    <row r="100" spans="44:107" ht="17.25" customHeight="1" x14ac:dyDescent="0.15">
      <c r="AR100" s="261"/>
      <c r="AY100" s="203">
        <f t="shared" si="112"/>
        <v>1</v>
      </c>
      <c r="AZ100" s="196" t="str">
        <f t="shared" si="117"/>
        <v xml:space="preserve"> --</v>
      </c>
      <c r="BA100" s="196">
        <f>BN26</f>
        <v>1</v>
      </c>
      <c r="BB100" s="177" t="str">
        <f>BT26</f>
        <v xml:space="preserve"> --</v>
      </c>
      <c r="BC100" s="23" t="str">
        <f t="shared" si="113"/>
        <v xml:space="preserve"> --</v>
      </c>
      <c r="BE100" s="204">
        <v>31</v>
      </c>
      <c r="BF100" s="196" t="str">
        <f>IF(集計!B35="","",集計!B35)</f>
        <v>鈴木</v>
      </c>
      <c r="BG100" s="224" t="str">
        <f>IF(BF100="","",IF($BA$45=1,IF(ISNA(VLOOKUP(BF100,組合せﾃﾞｰﾀ!$AU$7:$AV$54,2,FALSE)),BF100,VLOOKUP(BF100,組合せﾃﾞｰﾀ!$AU$7:$AV$54,2,FALSE)),BF100))</f>
        <v>鈴木</v>
      </c>
      <c r="BI100" s="179"/>
      <c r="BJ100" s="196" t="str">
        <f>組合せﾃﾞｰﾀ!$I35</f>
        <v>鈴木</v>
      </c>
      <c r="BK100" s="224" t="str">
        <f>IF($BA$45=1,IF(ISNA(VLOOKUP(BJ100,組合せﾃﾞｰﾀ!$AU$7:$AV$54,2,FALSE)),BJ100,VLOOKUP(BJ100,組合せﾃﾞｰﾀ!$AU$7:$AV$54,2,FALSE)),BJ100)</f>
        <v>鈴木</v>
      </c>
      <c r="BL100" s="23"/>
      <c r="BN100" s="205">
        <v>31</v>
      </c>
      <c r="BO100" s="524" t="str">
        <f t="shared" si="114"/>
        <v>鈴木</v>
      </c>
      <c r="BP100" s="524" t="str">
        <f t="shared" si="121"/>
        <v>鈴木</v>
      </c>
      <c r="BR100" s="96">
        <v>31</v>
      </c>
      <c r="BS100" s="206" t="str">
        <f t="shared" si="116"/>
        <v>鈴木</v>
      </c>
      <c r="BU100" s="522">
        <f t="shared" si="118"/>
        <v>1</v>
      </c>
      <c r="BV100" s="196">
        <f>BB26</f>
        <v>1</v>
      </c>
      <c r="BW100" s="530" t="str">
        <f t="shared" si="119"/>
        <v xml:space="preserve"> --</v>
      </c>
      <c r="BX100" s="522">
        <f t="shared" si="120"/>
        <v>0</v>
      </c>
      <c r="CG100" s="95"/>
      <c r="CS100" s="183"/>
      <c r="CU100" s="96"/>
      <c r="CV100" s="96"/>
      <c r="CW100" s="96"/>
      <c r="CX100" s="96"/>
      <c r="DC100" s="261"/>
    </row>
    <row r="101" spans="44:107" ht="17.25" customHeight="1" x14ac:dyDescent="0.15">
      <c r="AR101" s="261"/>
      <c r="AS101" s="254" t="s">
        <v>276</v>
      </c>
      <c r="AT101" s="254" t="s">
        <v>277</v>
      </c>
      <c r="AY101" s="203">
        <f t="shared" si="112"/>
        <v>1</v>
      </c>
      <c r="AZ101" s="196" t="str">
        <f t="shared" si="117"/>
        <v xml:space="preserve"> --</v>
      </c>
      <c r="BA101" s="196">
        <f>BO26</f>
        <v>1</v>
      </c>
      <c r="BB101" s="177" t="str">
        <f>BU26</f>
        <v xml:space="preserve"> --</v>
      </c>
      <c r="BC101" s="23" t="str">
        <f t="shared" si="113"/>
        <v xml:space="preserve"> --</v>
      </c>
      <c r="BE101" s="204">
        <v>32</v>
      </c>
      <c r="BF101" s="196" t="str">
        <f>IF(集計!B36="","",集計!B36)</f>
        <v>高木</v>
      </c>
      <c r="BG101" s="224" t="str">
        <f>IF(BF101="","",IF($BA$45=1,IF(ISNA(VLOOKUP(BF101,組合せﾃﾞｰﾀ!$AU$7:$AV$54,2,FALSE)),BF101,VLOOKUP(BF101,組合せﾃﾞｰﾀ!$AU$7:$AV$54,2,FALSE)),BF101))</f>
        <v>高木</v>
      </c>
      <c r="BI101" s="179"/>
      <c r="BJ101" s="196" t="str">
        <f>組合せﾃﾞｰﾀ!$I36</f>
        <v>高木</v>
      </c>
      <c r="BK101" s="224" t="str">
        <f>IF($BA$45=1,IF(ISNA(VLOOKUP(BJ101,組合せﾃﾞｰﾀ!$AU$7:$AV$54,2,FALSE)),BJ101,VLOOKUP(BJ101,組合せﾃﾞｰﾀ!$AU$7:$AV$54,2,FALSE)),BJ101)</f>
        <v>高木</v>
      </c>
      <c r="BL101" s="23"/>
      <c r="BN101" s="205">
        <v>32</v>
      </c>
      <c r="BO101" s="524" t="str">
        <f t="shared" si="114"/>
        <v>高木</v>
      </c>
      <c r="BP101" s="524" t="str">
        <f t="shared" si="121"/>
        <v>高木</v>
      </c>
      <c r="BR101" s="96">
        <v>32</v>
      </c>
      <c r="BS101" s="206" t="str">
        <f t="shared" si="116"/>
        <v>高木</v>
      </c>
      <c r="BU101" s="522">
        <f t="shared" si="118"/>
        <v>1</v>
      </c>
      <c r="BV101" s="196">
        <f>BC26</f>
        <v>1</v>
      </c>
      <c r="BW101" s="530" t="str">
        <f t="shared" si="119"/>
        <v xml:space="preserve"> --</v>
      </c>
      <c r="BX101" s="522">
        <f t="shared" si="120"/>
        <v>0</v>
      </c>
      <c r="CG101" s="95"/>
      <c r="CS101" s="183"/>
      <c r="CU101" s="96"/>
      <c r="CV101" s="96"/>
      <c r="CW101" s="96"/>
      <c r="CX101" s="96"/>
      <c r="DC101" s="261"/>
    </row>
    <row r="102" spans="44:107" ht="17.25" customHeight="1" x14ac:dyDescent="0.15">
      <c r="AR102" s="261"/>
      <c r="AS102" s="254"/>
      <c r="AT102" s="254"/>
      <c r="AY102" s="203">
        <f t="shared" si="112"/>
        <v>1</v>
      </c>
      <c r="AZ102" s="196" t="str">
        <f t="shared" si="117"/>
        <v xml:space="preserve"> --</v>
      </c>
      <c r="BA102" s="196">
        <f>BL28</f>
        <v>1</v>
      </c>
      <c r="BB102" s="177" t="str">
        <f>BR28</f>
        <v xml:space="preserve"> --</v>
      </c>
      <c r="BC102" s="23" t="str">
        <f t="shared" si="113"/>
        <v xml:space="preserve"> --</v>
      </c>
      <c r="BE102" s="204">
        <v>33</v>
      </c>
      <c r="BF102" s="196" t="str">
        <f>IF(集計!B37="","",集計!B37)</f>
        <v>田中</v>
      </c>
      <c r="BG102" s="224" t="str">
        <f>IF(BF102="","",IF($BA$45=1,IF(ISNA(VLOOKUP(BF102,組合せﾃﾞｰﾀ!$AU$7:$AV$54,2,FALSE)),BF102,VLOOKUP(BF102,組合せﾃﾞｰﾀ!$AU$7:$AV$54,2,FALSE)),BF102))</f>
        <v>田中</v>
      </c>
      <c r="BI102" s="179"/>
      <c r="BJ102" s="196" t="str">
        <f>組合せﾃﾞｰﾀ!$I37</f>
        <v>田中</v>
      </c>
      <c r="BK102" s="224" t="str">
        <f>IF($BA$45=1,IF(ISNA(VLOOKUP(BJ102,組合せﾃﾞｰﾀ!$AU$7:$AV$54,2,FALSE)),BJ102,VLOOKUP(BJ102,組合せﾃﾞｰﾀ!$AU$7:$AV$54,2,FALSE)),BJ102)</f>
        <v>田中</v>
      </c>
      <c r="BL102" s="23"/>
      <c r="BN102" s="205">
        <v>33</v>
      </c>
      <c r="BO102" s="524" t="str">
        <f t="shared" ref="BO102:BO135" si="122">IF($AY$45=1,$BF102,$BJ102)</f>
        <v>田中</v>
      </c>
      <c r="BP102" s="524" t="str">
        <f t="shared" si="121"/>
        <v>田中</v>
      </c>
      <c r="BR102" s="96">
        <v>33</v>
      </c>
      <c r="BS102" s="206" t="str">
        <f t="shared" ref="BS102:BS135" si="123">IF(ISNA($BP102)," --",$BP102)</f>
        <v>田中</v>
      </c>
      <c r="BU102" s="522">
        <f t="shared" si="118"/>
        <v>1</v>
      </c>
      <c r="BV102" s="196">
        <f>AZ28</f>
        <v>1</v>
      </c>
      <c r="BW102" s="530" t="str">
        <f t="shared" si="119"/>
        <v xml:space="preserve"> --</v>
      </c>
      <c r="BX102" s="522">
        <f t="shared" si="120"/>
        <v>0</v>
      </c>
      <c r="CG102" s="95"/>
      <c r="CS102" s="183"/>
      <c r="CU102" s="96"/>
      <c r="CV102" s="96"/>
      <c r="CW102" s="96"/>
      <c r="CX102" s="96"/>
      <c r="DC102" s="261"/>
    </row>
    <row r="103" spans="44:107" ht="17.25" customHeight="1" x14ac:dyDescent="0.15">
      <c r="AR103" s="261"/>
      <c r="AS103" s="254"/>
      <c r="AT103" s="254"/>
      <c r="AY103" s="203">
        <f t="shared" si="112"/>
        <v>1</v>
      </c>
      <c r="AZ103" s="196" t="str">
        <f t="shared" si="117"/>
        <v xml:space="preserve"> --</v>
      </c>
      <c r="BA103" s="196">
        <f>BM28</f>
        <v>1</v>
      </c>
      <c r="BB103" s="177" t="str">
        <f>BS28</f>
        <v xml:space="preserve"> --</v>
      </c>
      <c r="BC103" s="23" t="str">
        <f t="shared" si="113"/>
        <v xml:space="preserve"> --</v>
      </c>
      <c r="BE103" s="204">
        <v>34</v>
      </c>
      <c r="BF103" s="196" t="str">
        <f>IF(集計!B38="","",集計!B38)</f>
        <v>塚越</v>
      </c>
      <c r="BG103" s="224" t="str">
        <f>IF(BF103="","",IF($BA$45=1,IF(ISNA(VLOOKUP(BF103,組合せﾃﾞｰﾀ!$AU$7:$AV$54,2,FALSE)),BF103,VLOOKUP(BF103,組合せﾃﾞｰﾀ!$AU$7:$AV$54,2,FALSE)),BF103))</f>
        <v>塚越</v>
      </c>
      <c r="BI103" s="179"/>
      <c r="BJ103" s="196" t="str">
        <f>組合せﾃﾞｰﾀ!$I38</f>
        <v>塚越</v>
      </c>
      <c r="BK103" s="224" t="str">
        <f>IF($BA$45=1,IF(ISNA(VLOOKUP(BJ103,組合せﾃﾞｰﾀ!$AU$7:$AV$54,2,FALSE)),BJ103,VLOOKUP(BJ103,組合せﾃﾞｰﾀ!$AU$7:$AV$54,2,FALSE)),BJ103)</f>
        <v>塚越</v>
      </c>
      <c r="BL103" s="23"/>
      <c r="BN103" s="205">
        <v>34</v>
      </c>
      <c r="BO103" s="524" t="str">
        <f t="shared" si="122"/>
        <v>塚越</v>
      </c>
      <c r="BP103" s="524" t="str">
        <f t="shared" si="121"/>
        <v>塚越</v>
      </c>
      <c r="BR103" s="96">
        <v>34</v>
      </c>
      <c r="BS103" s="206" t="str">
        <f t="shared" si="123"/>
        <v>塚越</v>
      </c>
      <c r="BU103" s="522">
        <f t="shared" si="118"/>
        <v>1</v>
      </c>
      <c r="BV103" s="196">
        <f>BA28</f>
        <v>1</v>
      </c>
      <c r="BW103" s="530" t="str">
        <f t="shared" si="119"/>
        <v xml:space="preserve"> --</v>
      </c>
      <c r="BX103" s="522">
        <f t="shared" si="120"/>
        <v>0</v>
      </c>
      <c r="CG103" s="95"/>
      <c r="CS103" s="183"/>
      <c r="CU103" s="96"/>
      <c r="CV103" s="96"/>
      <c r="CW103" s="96"/>
      <c r="CX103" s="96"/>
      <c r="DC103" s="261"/>
    </row>
    <row r="104" spans="44:107" ht="17.25" customHeight="1" x14ac:dyDescent="0.15">
      <c r="AR104" s="261"/>
      <c r="AS104" s="254"/>
      <c r="AT104" s="254"/>
      <c r="AY104" s="203">
        <f t="shared" si="112"/>
        <v>1</v>
      </c>
      <c r="AZ104" s="196" t="str">
        <f t="shared" si="117"/>
        <v xml:space="preserve"> --</v>
      </c>
      <c r="BA104" s="196">
        <f>BN28</f>
        <v>1</v>
      </c>
      <c r="BB104" s="177" t="str">
        <f>BT28</f>
        <v xml:space="preserve"> --</v>
      </c>
      <c r="BC104" s="23" t="str">
        <f t="shared" si="113"/>
        <v xml:space="preserve"> --</v>
      </c>
      <c r="BE104" s="204">
        <v>35</v>
      </c>
      <c r="BF104" s="196" t="str">
        <f>IF(集計!B39="","",集計!B39)</f>
        <v>次橋</v>
      </c>
      <c r="BG104" s="224" t="str">
        <f>IF(BF104="","",IF($BA$45=1,IF(ISNA(VLOOKUP(BF104,組合せﾃﾞｰﾀ!$AU$7:$AV$54,2,FALSE)),BF104,VLOOKUP(BF104,組合せﾃﾞｰﾀ!$AU$7:$AV$54,2,FALSE)),BF104))</f>
        <v>次橋</v>
      </c>
      <c r="BI104" s="179"/>
      <c r="BJ104" s="196" t="str">
        <f>組合せﾃﾞｰﾀ!$I39</f>
        <v>次橋</v>
      </c>
      <c r="BK104" s="224" t="str">
        <f>IF($BA$45=1,IF(ISNA(VLOOKUP(BJ104,組合せﾃﾞｰﾀ!$AU$7:$AV$54,2,FALSE)),BJ104,VLOOKUP(BJ104,組合せﾃﾞｰﾀ!$AU$7:$AV$54,2,FALSE)),BJ104)</f>
        <v>次橋</v>
      </c>
      <c r="BL104" s="23"/>
      <c r="BN104" s="205">
        <v>35</v>
      </c>
      <c r="BO104" s="524" t="str">
        <f t="shared" si="122"/>
        <v>次橋</v>
      </c>
      <c r="BP104" s="524" t="str">
        <f t="shared" si="121"/>
        <v>次橋</v>
      </c>
      <c r="BR104" s="96">
        <v>35</v>
      </c>
      <c r="BS104" s="206" t="str">
        <f t="shared" si="123"/>
        <v>次橋</v>
      </c>
      <c r="BU104" s="522">
        <f t="shared" si="118"/>
        <v>1</v>
      </c>
      <c r="BV104" s="196">
        <f>BB28</f>
        <v>1</v>
      </c>
      <c r="BW104" s="530" t="str">
        <f t="shared" si="119"/>
        <v xml:space="preserve"> --</v>
      </c>
      <c r="BX104" s="522">
        <f t="shared" si="120"/>
        <v>0</v>
      </c>
      <c r="CG104" s="95"/>
      <c r="CS104" s="183"/>
      <c r="CU104" s="96"/>
      <c r="CV104" s="96"/>
      <c r="CW104" s="96"/>
      <c r="CX104" s="96"/>
      <c r="DC104" s="261"/>
    </row>
    <row r="105" spans="44:107" ht="17.25" customHeight="1" x14ac:dyDescent="0.15">
      <c r="AR105" s="261"/>
      <c r="AS105" s="254"/>
      <c r="AT105" s="254"/>
      <c r="AY105" s="203">
        <f t="shared" si="112"/>
        <v>1</v>
      </c>
      <c r="AZ105" s="196" t="str">
        <f t="shared" si="117"/>
        <v xml:space="preserve"> --</v>
      </c>
      <c r="BA105" s="196">
        <f>BO28</f>
        <v>1</v>
      </c>
      <c r="BB105" s="177" t="str">
        <f>BU28</f>
        <v xml:space="preserve"> --</v>
      </c>
      <c r="BC105" s="23" t="str">
        <f t="shared" si="113"/>
        <v xml:space="preserve"> --</v>
      </c>
      <c r="BE105" s="204">
        <v>36</v>
      </c>
      <c r="BF105" s="196" t="str">
        <f>IF(集計!B40="","",集計!B40)</f>
        <v>坪原</v>
      </c>
      <c r="BG105" s="224" t="str">
        <f>IF(BF105="","",IF($BA$45=1,IF(ISNA(VLOOKUP(BF105,組合せﾃﾞｰﾀ!$AU$7:$AV$54,2,FALSE)),BF105,VLOOKUP(BF105,組合せﾃﾞｰﾀ!$AU$7:$AV$54,2,FALSE)),BF105))</f>
        <v>坪原</v>
      </c>
      <c r="BI105" s="179"/>
      <c r="BJ105" s="196" t="str">
        <f>組合せﾃﾞｰﾀ!$I40</f>
        <v>坪原</v>
      </c>
      <c r="BK105" s="224" t="str">
        <f>IF($BA$45=1,IF(ISNA(VLOOKUP(BJ105,組合せﾃﾞｰﾀ!$AU$7:$AV$54,2,FALSE)),BJ105,VLOOKUP(BJ105,組合せﾃﾞｰﾀ!$AU$7:$AV$54,2,FALSE)),BJ105)</f>
        <v>坪原</v>
      </c>
      <c r="BL105" s="23"/>
      <c r="BN105" s="205">
        <v>36</v>
      </c>
      <c r="BO105" s="524" t="str">
        <f t="shared" si="122"/>
        <v>坪原</v>
      </c>
      <c r="BP105" s="524" t="str">
        <f t="shared" si="121"/>
        <v>坪原</v>
      </c>
      <c r="BR105" s="96">
        <v>36</v>
      </c>
      <c r="BS105" s="206" t="str">
        <f t="shared" si="123"/>
        <v>坪原</v>
      </c>
      <c r="BU105" s="522">
        <f t="shared" si="118"/>
        <v>1</v>
      </c>
      <c r="BV105" s="196">
        <f>BC28</f>
        <v>1</v>
      </c>
      <c r="BW105" s="530" t="str">
        <f t="shared" si="119"/>
        <v xml:space="preserve"> --</v>
      </c>
      <c r="BX105" s="522">
        <f t="shared" si="120"/>
        <v>0</v>
      </c>
      <c r="CG105" s="95"/>
      <c r="CS105" s="183"/>
      <c r="CU105" s="96"/>
      <c r="CV105" s="96"/>
      <c r="CW105" s="96"/>
      <c r="CX105" s="96"/>
      <c r="DC105" s="261"/>
    </row>
    <row r="106" spans="44:107" ht="17.25" customHeight="1" x14ac:dyDescent="0.15">
      <c r="AR106" s="261"/>
      <c r="AS106" s="254"/>
      <c r="AT106" s="254"/>
      <c r="AY106" s="203">
        <f t="shared" si="112"/>
        <v>1</v>
      </c>
      <c r="AZ106" s="196" t="str">
        <f t="shared" si="117"/>
        <v xml:space="preserve"> --</v>
      </c>
      <c r="BA106" s="196">
        <f>BL30</f>
        <v>1</v>
      </c>
      <c r="BB106" s="177" t="str">
        <f>BR30</f>
        <v xml:space="preserve"> --</v>
      </c>
      <c r="BC106" s="23" t="str">
        <f t="shared" si="113"/>
        <v xml:space="preserve"> --</v>
      </c>
      <c r="BE106" s="204">
        <v>37</v>
      </c>
      <c r="BF106" s="196" t="str">
        <f>IF(集計!B41="","",集計!B41)</f>
        <v>豊島</v>
      </c>
      <c r="BG106" s="224" t="str">
        <f>IF(BF106="","",IF($BA$45=1,IF(ISNA(VLOOKUP(BF106,組合せﾃﾞｰﾀ!$AU$7:$AV$54,2,FALSE)),BF106,VLOOKUP(BF106,組合せﾃﾞｰﾀ!$AU$7:$AV$54,2,FALSE)),BF106))</f>
        <v>豊島</v>
      </c>
      <c r="BI106" s="179"/>
      <c r="BJ106" s="196" t="str">
        <f>組合せﾃﾞｰﾀ!$I41</f>
        <v>豊島</v>
      </c>
      <c r="BK106" s="224" t="str">
        <f>IF($BA$45=1,IF(ISNA(VLOOKUP(BJ106,組合せﾃﾞｰﾀ!$AU$7:$AV$54,2,FALSE)),BJ106,VLOOKUP(BJ106,組合せﾃﾞｰﾀ!$AU$7:$AV$54,2,FALSE)),BJ106)</f>
        <v>豊島</v>
      </c>
      <c r="BL106" s="23"/>
      <c r="BN106" s="205">
        <v>37</v>
      </c>
      <c r="BO106" s="524" t="str">
        <f t="shared" si="122"/>
        <v>豊島</v>
      </c>
      <c r="BP106" s="524" t="str">
        <f t="shared" si="121"/>
        <v>豊島</v>
      </c>
      <c r="BR106" s="96">
        <v>37</v>
      </c>
      <c r="BS106" s="206" t="str">
        <f t="shared" si="123"/>
        <v>豊島</v>
      </c>
      <c r="BU106" s="522">
        <f t="shared" si="118"/>
        <v>1</v>
      </c>
      <c r="BV106" s="196">
        <f>AZ30</f>
        <v>1</v>
      </c>
      <c r="BW106" s="530" t="str">
        <f t="shared" si="119"/>
        <v xml:space="preserve"> --</v>
      </c>
      <c r="BX106" s="522">
        <f t="shared" si="120"/>
        <v>0</v>
      </c>
      <c r="CG106" s="95"/>
      <c r="CS106" s="183"/>
      <c r="CU106" s="96"/>
      <c r="CV106" s="96"/>
      <c r="CW106" s="96"/>
      <c r="CX106" s="96"/>
      <c r="DC106" s="261"/>
    </row>
    <row r="107" spans="44:107" ht="17.25" customHeight="1" x14ac:dyDescent="0.15">
      <c r="AR107" s="261"/>
      <c r="AY107" s="203">
        <f t="shared" si="112"/>
        <v>1</v>
      </c>
      <c r="AZ107" s="196" t="str">
        <f t="shared" si="117"/>
        <v xml:space="preserve"> --</v>
      </c>
      <c r="BA107" s="196">
        <f>BM30</f>
        <v>1</v>
      </c>
      <c r="BB107" s="177" t="str">
        <f>BS30</f>
        <v xml:space="preserve"> --</v>
      </c>
      <c r="BC107" s="23" t="str">
        <f t="shared" si="113"/>
        <v xml:space="preserve"> --</v>
      </c>
      <c r="BE107" s="204">
        <v>38</v>
      </c>
      <c r="BF107" s="196" t="str">
        <f>IF(集計!B42="","",集計!B42)</f>
        <v>中川</v>
      </c>
      <c r="BG107" s="224" t="str">
        <f>IF(BF107="","",IF($BA$45=1,IF(ISNA(VLOOKUP(BF107,組合せﾃﾞｰﾀ!$AU$7:$AV$54,2,FALSE)),BF107,VLOOKUP(BF107,組合せﾃﾞｰﾀ!$AU$7:$AV$54,2,FALSE)),BF107))</f>
        <v>中川</v>
      </c>
      <c r="BI107" s="179"/>
      <c r="BJ107" s="196" t="str">
        <f>組合せﾃﾞｰﾀ!$I42</f>
        <v>中川</v>
      </c>
      <c r="BK107" s="224" t="str">
        <f>IF($BA$45=1,IF(ISNA(VLOOKUP(BJ107,組合せﾃﾞｰﾀ!$AU$7:$AV$54,2,FALSE)),BJ107,VLOOKUP(BJ107,組合せﾃﾞｰﾀ!$AU$7:$AV$54,2,FALSE)),BJ107)</f>
        <v>中川</v>
      </c>
      <c r="BL107" s="23"/>
      <c r="BN107" s="205">
        <v>38</v>
      </c>
      <c r="BO107" s="524" t="str">
        <f t="shared" si="122"/>
        <v>中川</v>
      </c>
      <c r="BP107" s="524" t="str">
        <f t="shared" si="121"/>
        <v>中川</v>
      </c>
      <c r="BR107" s="96">
        <v>38</v>
      </c>
      <c r="BS107" s="206" t="str">
        <f t="shared" si="123"/>
        <v>中川</v>
      </c>
      <c r="BU107" s="522">
        <f t="shared" si="118"/>
        <v>1</v>
      </c>
      <c r="BV107" s="196">
        <f>BA30</f>
        <v>1</v>
      </c>
      <c r="BW107" s="530" t="str">
        <f t="shared" si="119"/>
        <v xml:space="preserve"> --</v>
      </c>
      <c r="BX107" s="522">
        <f t="shared" si="120"/>
        <v>0</v>
      </c>
      <c r="CG107" s="95"/>
      <c r="CS107" s="183"/>
      <c r="CU107" s="96"/>
      <c r="CV107" s="96"/>
      <c r="CW107" s="96"/>
      <c r="CX107" s="96"/>
      <c r="DC107" s="261"/>
    </row>
    <row r="108" spans="44:107" ht="17.25" customHeight="1" x14ac:dyDescent="0.15">
      <c r="AR108" s="261"/>
      <c r="AY108" s="203">
        <f t="shared" si="112"/>
        <v>1</v>
      </c>
      <c r="AZ108" s="196" t="str">
        <f t="shared" si="117"/>
        <v xml:space="preserve"> --</v>
      </c>
      <c r="BA108" s="196">
        <f>BN30</f>
        <v>1</v>
      </c>
      <c r="BB108" s="177" t="str">
        <f>BT30</f>
        <v xml:space="preserve"> --</v>
      </c>
      <c r="BC108" s="23" t="str">
        <f t="shared" si="113"/>
        <v xml:space="preserve"> --</v>
      </c>
      <c r="BE108" s="204">
        <v>39</v>
      </c>
      <c r="BF108" s="196" t="str">
        <f>IF(集計!B43="","",集計!B43)</f>
        <v>中山</v>
      </c>
      <c r="BG108" s="224" t="str">
        <f>IF(BF108="","",IF($BA$45=1,IF(ISNA(VLOOKUP(BF108,組合せﾃﾞｰﾀ!$AU$7:$AV$54,2,FALSE)),BF108,VLOOKUP(BF108,組合せﾃﾞｰﾀ!$AU$7:$AV$54,2,FALSE)),BF108))</f>
        <v>中山</v>
      </c>
      <c r="BI108" s="179"/>
      <c r="BJ108" s="196" t="str">
        <f>組合せﾃﾞｰﾀ!$I43</f>
        <v>中山</v>
      </c>
      <c r="BK108" s="224" t="str">
        <f>IF($BA$45=1,IF(ISNA(VLOOKUP(BJ108,組合せﾃﾞｰﾀ!$AU$7:$AV$54,2,FALSE)),BJ108,VLOOKUP(BJ108,組合せﾃﾞｰﾀ!$AU$7:$AV$54,2,FALSE)),BJ108)</f>
        <v>中山</v>
      </c>
      <c r="BL108" s="23"/>
      <c r="BN108" s="205">
        <v>39</v>
      </c>
      <c r="BO108" s="524" t="str">
        <f t="shared" si="122"/>
        <v>中山</v>
      </c>
      <c r="BP108" s="524" t="str">
        <f t="shared" si="121"/>
        <v>中山</v>
      </c>
      <c r="BR108" s="96">
        <v>39</v>
      </c>
      <c r="BS108" s="206" t="str">
        <f t="shared" si="123"/>
        <v>中山</v>
      </c>
      <c r="BU108" s="522">
        <f t="shared" si="118"/>
        <v>1</v>
      </c>
      <c r="BV108" s="196">
        <f>BB30</f>
        <v>1</v>
      </c>
      <c r="BW108" s="530" t="str">
        <f t="shared" si="119"/>
        <v xml:space="preserve"> --</v>
      </c>
      <c r="BX108" s="522">
        <f t="shared" si="120"/>
        <v>0</v>
      </c>
      <c r="CG108" s="95"/>
      <c r="CS108" s="183"/>
      <c r="CT108" s="96"/>
      <c r="CU108" s="96"/>
      <c r="CV108" s="96"/>
      <c r="CW108" s="96"/>
      <c r="CX108" s="96"/>
      <c r="DC108" s="261"/>
    </row>
    <row r="109" spans="44:107" ht="17.25" customHeight="1" x14ac:dyDescent="0.15">
      <c r="AR109" s="261"/>
      <c r="AY109" s="203">
        <f t="shared" si="112"/>
        <v>1</v>
      </c>
      <c r="AZ109" s="196" t="str">
        <f t="shared" si="117"/>
        <v xml:space="preserve"> --</v>
      </c>
      <c r="BA109" s="196">
        <f>BO30</f>
        <v>1</v>
      </c>
      <c r="BB109" s="177" t="str">
        <f>BU30</f>
        <v xml:space="preserve"> --</v>
      </c>
      <c r="BC109" s="23" t="str">
        <f t="shared" si="113"/>
        <v xml:space="preserve"> --</v>
      </c>
      <c r="BE109" s="204">
        <v>40</v>
      </c>
      <c r="BF109" s="196" t="str">
        <f>IF(集計!B44="","",集計!B44)</f>
        <v>林</v>
      </c>
      <c r="BG109" s="224" t="str">
        <f>IF(BF109="","",IF($BA$45=1,IF(ISNA(VLOOKUP(BF109,組合せﾃﾞｰﾀ!$AU$7:$AV$54,2,FALSE)),BF109,VLOOKUP(BF109,組合せﾃﾞｰﾀ!$AU$7:$AV$54,2,FALSE)),BF109))</f>
        <v>林</v>
      </c>
      <c r="BI109" s="179"/>
      <c r="BJ109" s="196" t="str">
        <f>組合せﾃﾞｰﾀ!$I44</f>
        <v>林</v>
      </c>
      <c r="BK109" s="224" t="str">
        <f>IF($BA$45=1,IF(ISNA(VLOOKUP(BJ109,組合せﾃﾞｰﾀ!$AU$7:$AV$54,2,FALSE)),BJ109,VLOOKUP(BJ109,組合せﾃﾞｰﾀ!$AU$7:$AV$54,2,FALSE)),BJ109)</f>
        <v>林</v>
      </c>
      <c r="BL109" s="23"/>
      <c r="BN109" s="205">
        <v>40</v>
      </c>
      <c r="BO109" s="524" t="str">
        <f t="shared" si="122"/>
        <v>林</v>
      </c>
      <c r="BP109" s="524" t="str">
        <f t="shared" si="121"/>
        <v>林</v>
      </c>
      <c r="BR109" s="96">
        <v>40</v>
      </c>
      <c r="BS109" s="206" t="str">
        <f t="shared" si="123"/>
        <v>林</v>
      </c>
      <c r="BU109" s="522">
        <f t="shared" si="118"/>
        <v>1</v>
      </c>
      <c r="BV109" s="196">
        <f>BC30</f>
        <v>1</v>
      </c>
      <c r="BW109" s="530" t="str">
        <f t="shared" si="119"/>
        <v xml:space="preserve"> --</v>
      </c>
      <c r="BX109" s="531">
        <f t="shared" si="120"/>
        <v>0</v>
      </c>
      <c r="CS109" s="183"/>
      <c r="DC109" s="261"/>
    </row>
    <row r="110" spans="44:107" ht="17.25" customHeight="1" x14ac:dyDescent="0.15">
      <c r="AR110" s="261"/>
      <c r="AT110" s="23" t="s">
        <v>279</v>
      </c>
      <c r="AY110" s="203">
        <f t="shared" ref="AY110:AY117" si="124">IF(ISERROR(BA110),"",BA110)</f>
        <v>1</v>
      </c>
      <c r="AZ110" s="196" t="str">
        <f t="shared" ref="AZ110:AZ117" si="125">BC110</f>
        <v xml:space="preserve"> --</v>
      </c>
      <c r="BA110" s="196">
        <f>BL32</f>
        <v>1</v>
      </c>
      <c r="BB110" s="177" t="str">
        <f>BR32</f>
        <v xml:space="preserve"> --</v>
      </c>
      <c r="BC110" s="23" t="str">
        <f t="shared" si="113"/>
        <v xml:space="preserve"> --</v>
      </c>
      <c r="BD110" s="96"/>
      <c r="BE110" s="204">
        <v>41</v>
      </c>
      <c r="BF110" s="196" t="str">
        <f>IF(集計!B45="","",集計!B45)</f>
        <v>福山</v>
      </c>
      <c r="BG110" s="224" t="str">
        <f>IF(BF110="","",IF($BA$45=1,IF(ISNA(VLOOKUP(BF110,組合せﾃﾞｰﾀ!$AU$7:$AV$54,2,FALSE)),BF110,VLOOKUP(BF110,組合せﾃﾞｰﾀ!$AU$7:$AV$54,2,FALSE)),BF110))</f>
        <v>福山</v>
      </c>
      <c r="BH110" s="96"/>
      <c r="BI110" s="186"/>
      <c r="BJ110" s="196" t="str">
        <f>組合せﾃﾞｰﾀ!$I45</f>
        <v>福山</v>
      </c>
      <c r="BK110" s="224" t="str">
        <f>IF($BA$45=1,IF(ISNA(VLOOKUP(BJ110,組合せﾃﾞｰﾀ!$AU$7:$AV$54,2,FALSE)),BJ110,VLOOKUP(BJ110,組合せﾃﾞｰﾀ!$AU$7:$AV$54,2,FALSE)),BJ110)</f>
        <v>福山</v>
      </c>
      <c r="BL110" s="23"/>
      <c r="BN110" s="205">
        <v>41</v>
      </c>
      <c r="BO110" s="524" t="str">
        <f t="shared" si="122"/>
        <v>福山</v>
      </c>
      <c r="BP110" s="524" t="str">
        <f t="shared" si="121"/>
        <v>福山</v>
      </c>
      <c r="BR110" s="96">
        <v>41</v>
      </c>
      <c r="BS110" s="206" t="str">
        <f t="shared" si="123"/>
        <v>福山</v>
      </c>
      <c r="BU110" s="522">
        <f t="shared" si="118"/>
        <v>1</v>
      </c>
      <c r="BV110" s="196">
        <f>AZ32</f>
        <v>1</v>
      </c>
      <c r="BW110" s="530" t="str">
        <f t="shared" ref="BW110:BW117" si="126">IF(BV110=$BC$127+1,ROW(BV110)/100,IF(ISNA(VLOOKUP(BV110,$BN$70:$BO$135,2,FALSE)),"",IF($BC$45=1,VLOOKUP(BV110,$BN$70:$BO$135,2,FALSE),VLOOKUP(BV110,$BN$70:$BP$135,3,FALSE))))</f>
        <v xml:space="preserve"> --</v>
      </c>
      <c r="BX110" s="531">
        <f t="shared" ref="BX110:BX117" si="127">BV110-BU110</f>
        <v>0</v>
      </c>
      <c r="BZ110" s="534"/>
      <c r="CA110" s="534"/>
      <c r="CB110" s="534"/>
      <c r="CC110" s="534"/>
      <c r="DC110" s="261"/>
    </row>
    <row r="111" spans="44:107" ht="17.25" customHeight="1" x14ac:dyDescent="0.15">
      <c r="AR111" s="261"/>
      <c r="AS111" s="254"/>
      <c r="AT111" s="254" t="s">
        <v>259</v>
      </c>
      <c r="AY111" s="203">
        <f t="shared" si="124"/>
        <v>1</v>
      </c>
      <c r="AZ111" s="196" t="str">
        <f t="shared" si="125"/>
        <v xml:space="preserve"> --</v>
      </c>
      <c r="BA111" s="196">
        <f>BM32</f>
        <v>1</v>
      </c>
      <c r="BB111" s="177" t="str">
        <f>BS32</f>
        <v xml:space="preserve"> --</v>
      </c>
      <c r="BC111" s="23" t="str">
        <f t="shared" si="113"/>
        <v xml:space="preserve"> --</v>
      </c>
      <c r="BD111" s="96"/>
      <c r="BE111" s="204">
        <v>42</v>
      </c>
      <c r="BF111" s="196" t="str">
        <f>IF(集計!B46="","",集計!B46)</f>
        <v>藤田</v>
      </c>
      <c r="BG111" s="224" t="str">
        <f>IF(BF111="","",IF($BA$45=1,IF(ISNA(VLOOKUP(BF111,組合せﾃﾞｰﾀ!$AU$7:$AV$54,2,FALSE)),BF111,VLOOKUP(BF111,組合せﾃﾞｰﾀ!$AU$7:$AV$54,2,FALSE)),BF111))</f>
        <v>藤田</v>
      </c>
      <c r="BH111" s="96"/>
      <c r="BI111" s="186"/>
      <c r="BJ111" s="196" t="str">
        <f>組合せﾃﾞｰﾀ!$I46</f>
        <v>藤田</v>
      </c>
      <c r="BK111" s="224" t="str">
        <f>IF($BA$45=1,IF(ISNA(VLOOKUP(BJ111,組合せﾃﾞｰﾀ!$AU$7:$AV$54,2,FALSE)),BJ111,VLOOKUP(BJ111,組合せﾃﾞｰﾀ!$AU$7:$AV$54,2,FALSE)),BJ111)</f>
        <v>藤田</v>
      </c>
      <c r="BL111" s="23"/>
      <c r="BN111" s="205">
        <v>42</v>
      </c>
      <c r="BO111" s="524" t="str">
        <f t="shared" si="122"/>
        <v>藤田</v>
      </c>
      <c r="BP111" s="524" t="str">
        <f t="shared" si="121"/>
        <v>藤田</v>
      </c>
      <c r="BR111" s="96">
        <v>42</v>
      </c>
      <c r="BS111" s="206" t="str">
        <f t="shared" si="123"/>
        <v>藤田</v>
      </c>
      <c r="BU111" s="522">
        <f t="shared" si="118"/>
        <v>1</v>
      </c>
      <c r="BV111" s="196">
        <f>BA32</f>
        <v>1</v>
      </c>
      <c r="BW111" s="530" t="str">
        <f t="shared" si="126"/>
        <v xml:space="preserve"> --</v>
      </c>
      <c r="BX111" s="531">
        <f t="shared" si="127"/>
        <v>0</v>
      </c>
      <c r="BZ111" s="534"/>
      <c r="CA111" s="534"/>
      <c r="CB111" s="534"/>
      <c r="CC111" s="534"/>
      <c r="DC111" s="261"/>
    </row>
    <row r="112" spans="44:107" ht="17.25" customHeight="1" x14ac:dyDescent="0.15">
      <c r="AR112" s="261"/>
      <c r="AS112" s="254"/>
      <c r="AT112" s="254" t="s">
        <v>257</v>
      </c>
      <c r="AY112" s="203">
        <f t="shared" si="124"/>
        <v>1</v>
      </c>
      <c r="AZ112" s="196" t="str">
        <f t="shared" si="125"/>
        <v xml:space="preserve"> --</v>
      </c>
      <c r="BA112" s="196">
        <f>BN32</f>
        <v>1</v>
      </c>
      <c r="BB112" s="177" t="str">
        <f>BT32</f>
        <v xml:space="preserve"> --</v>
      </c>
      <c r="BC112" s="23" t="str">
        <f t="shared" si="113"/>
        <v xml:space="preserve"> --</v>
      </c>
      <c r="BD112" s="96"/>
      <c r="BE112" s="204">
        <v>43</v>
      </c>
      <c r="BF112" s="196" t="str">
        <f>IF(集計!B47="","",集計!B47)</f>
        <v>古海</v>
      </c>
      <c r="BG112" s="224" t="str">
        <f>IF(BF112="","",IF($BA$45=1,IF(ISNA(VLOOKUP(BF112,組合せﾃﾞｰﾀ!$AU$7:$AV$54,2,FALSE)),BF112,VLOOKUP(BF112,組合せﾃﾞｰﾀ!$AU$7:$AV$54,2,FALSE)),BF112))</f>
        <v>古海</v>
      </c>
      <c r="BH112" s="96"/>
      <c r="BI112" s="186"/>
      <c r="BJ112" s="196" t="str">
        <f>組合せﾃﾞｰﾀ!$I47</f>
        <v>古海</v>
      </c>
      <c r="BK112" s="224" t="str">
        <f>IF($BA$45=1,IF(ISNA(VLOOKUP(BJ112,組合せﾃﾞｰﾀ!$AU$7:$AV$54,2,FALSE)),BJ112,VLOOKUP(BJ112,組合せﾃﾞｰﾀ!$AU$7:$AV$54,2,FALSE)),BJ112)</f>
        <v>古海</v>
      </c>
      <c r="BL112" s="23"/>
      <c r="BN112" s="205">
        <v>43</v>
      </c>
      <c r="BO112" s="524" t="str">
        <f t="shared" si="122"/>
        <v>古海</v>
      </c>
      <c r="BP112" s="524" t="str">
        <f t="shared" si="121"/>
        <v>古海</v>
      </c>
      <c r="BR112" s="96">
        <v>43</v>
      </c>
      <c r="BS112" s="206" t="str">
        <f t="shared" si="123"/>
        <v>古海</v>
      </c>
      <c r="BU112" s="522">
        <f t="shared" si="118"/>
        <v>1</v>
      </c>
      <c r="BV112" s="196">
        <f>BB32</f>
        <v>1</v>
      </c>
      <c r="BW112" s="530" t="str">
        <f t="shared" si="126"/>
        <v xml:space="preserve"> --</v>
      </c>
      <c r="BX112" s="531">
        <f t="shared" si="127"/>
        <v>0</v>
      </c>
      <c r="DC112" s="261"/>
    </row>
    <row r="113" spans="44:107" ht="17.25" customHeight="1" x14ac:dyDescent="0.15">
      <c r="AR113" s="261"/>
      <c r="AS113" s="254"/>
      <c r="AT113" s="254" t="s">
        <v>260</v>
      </c>
      <c r="AY113" s="203">
        <f t="shared" si="124"/>
        <v>1</v>
      </c>
      <c r="AZ113" s="196" t="str">
        <f t="shared" si="125"/>
        <v xml:space="preserve"> --</v>
      </c>
      <c r="BA113" s="196">
        <f>BO32</f>
        <v>1</v>
      </c>
      <c r="BB113" s="177" t="str">
        <f>BU32</f>
        <v xml:space="preserve"> --</v>
      </c>
      <c r="BC113" s="23" t="str">
        <f t="shared" si="113"/>
        <v xml:space="preserve"> --</v>
      </c>
      <c r="BD113" s="96"/>
      <c r="BE113" s="204">
        <v>44</v>
      </c>
      <c r="BF113" s="196" t="str">
        <f>IF(集計!B48="","",集計!B48)</f>
        <v>松岡</v>
      </c>
      <c r="BG113" s="224" t="str">
        <f>IF(BF113="","",IF($BA$45=1,IF(ISNA(VLOOKUP(BF113,組合せﾃﾞｰﾀ!$AU$7:$AV$54,2,FALSE)),BF113,VLOOKUP(BF113,組合せﾃﾞｰﾀ!$AU$7:$AV$54,2,FALSE)),BF113))</f>
        <v>松岡</v>
      </c>
      <c r="BH113" s="96"/>
      <c r="BI113" s="186"/>
      <c r="BJ113" s="196" t="str">
        <f>組合せﾃﾞｰﾀ!$I48</f>
        <v>松岡</v>
      </c>
      <c r="BK113" s="224" t="str">
        <f>IF($BA$45=1,IF(ISNA(VLOOKUP(BJ113,組合せﾃﾞｰﾀ!$AU$7:$AV$54,2,FALSE)),BJ113,VLOOKUP(BJ113,組合せﾃﾞｰﾀ!$AU$7:$AV$54,2,FALSE)),BJ113)</f>
        <v>松岡</v>
      </c>
      <c r="BL113" s="23"/>
      <c r="BN113" s="205">
        <v>44</v>
      </c>
      <c r="BO113" s="524" t="str">
        <f t="shared" si="122"/>
        <v>松岡</v>
      </c>
      <c r="BP113" s="524" t="str">
        <f t="shared" si="121"/>
        <v>松岡</v>
      </c>
      <c r="BR113" s="96">
        <v>44</v>
      </c>
      <c r="BS113" s="206" t="str">
        <f t="shared" si="123"/>
        <v>松岡</v>
      </c>
      <c r="BU113" s="522">
        <f t="shared" si="118"/>
        <v>1</v>
      </c>
      <c r="BV113" s="196">
        <f>BC32</f>
        <v>1</v>
      </c>
      <c r="BW113" s="530" t="str">
        <f t="shared" si="126"/>
        <v xml:space="preserve"> --</v>
      </c>
      <c r="BX113" s="531">
        <f t="shared" si="127"/>
        <v>0</v>
      </c>
      <c r="DC113" s="261"/>
    </row>
    <row r="114" spans="44:107" ht="17.25" customHeight="1" x14ac:dyDescent="0.15">
      <c r="AR114" s="261"/>
      <c r="AS114" s="254"/>
      <c r="AT114" s="254" t="s">
        <v>262</v>
      </c>
      <c r="AY114" s="203">
        <f t="shared" si="124"/>
        <v>1</v>
      </c>
      <c r="AZ114" s="196" t="str">
        <f t="shared" si="125"/>
        <v xml:space="preserve"> --</v>
      </c>
      <c r="BA114" s="196">
        <f>BL34</f>
        <v>1</v>
      </c>
      <c r="BB114" s="177" t="str">
        <f>BR34</f>
        <v xml:space="preserve"> --</v>
      </c>
      <c r="BC114" s="23" t="str">
        <f t="shared" si="113"/>
        <v xml:space="preserve"> --</v>
      </c>
      <c r="BD114" s="96"/>
      <c r="BE114" s="204">
        <v>45</v>
      </c>
      <c r="BF114" s="196" t="str">
        <f>IF(集計!B49="","",集計!B49)</f>
        <v>豆田</v>
      </c>
      <c r="BG114" s="224" t="str">
        <f>IF(BF114="","",IF($BA$45=1,IF(ISNA(VLOOKUP(BF114,組合せﾃﾞｰﾀ!$AU$7:$AV$54,2,FALSE)),BF114,VLOOKUP(BF114,組合せﾃﾞｰﾀ!$AU$7:$AV$54,2,FALSE)),BF114))</f>
        <v>豆田</v>
      </c>
      <c r="BH114" s="96"/>
      <c r="BI114" s="186"/>
      <c r="BJ114" s="196" t="str">
        <f>組合せﾃﾞｰﾀ!$I49</f>
        <v>豆田</v>
      </c>
      <c r="BK114" s="224" t="str">
        <f>IF($BA$45=1,IF(ISNA(VLOOKUP(BJ114,組合せﾃﾞｰﾀ!$AU$7:$AV$54,2,FALSE)),BJ114,VLOOKUP(BJ114,組合せﾃﾞｰﾀ!$AU$7:$AV$54,2,FALSE)),BJ114)</f>
        <v>豆田</v>
      </c>
      <c r="BL114" s="23"/>
      <c r="BN114" s="205">
        <v>45</v>
      </c>
      <c r="BO114" s="524" t="str">
        <f t="shared" si="122"/>
        <v>豆田</v>
      </c>
      <c r="BP114" s="524" t="str">
        <f t="shared" si="121"/>
        <v>豆田</v>
      </c>
      <c r="BR114" s="96">
        <v>45</v>
      </c>
      <c r="BS114" s="206" t="str">
        <f t="shared" si="123"/>
        <v>豆田</v>
      </c>
      <c r="BU114" s="522">
        <f t="shared" si="118"/>
        <v>1</v>
      </c>
      <c r="BV114" s="196">
        <f>AZ34</f>
        <v>1</v>
      </c>
      <c r="BW114" s="530" t="str">
        <f t="shared" si="126"/>
        <v xml:space="preserve"> --</v>
      </c>
      <c r="BX114" s="531">
        <f t="shared" si="127"/>
        <v>0</v>
      </c>
      <c r="DC114" s="261"/>
    </row>
    <row r="115" spans="44:107" ht="17.25" customHeight="1" x14ac:dyDescent="0.15">
      <c r="AR115" s="261"/>
      <c r="AT115" s="23" t="s">
        <v>261</v>
      </c>
      <c r="AY115" s="203">
        <f t="shared" si="124"/>
        <v>1</v>
      </c>
      <c r="AZ115" s="196" t="str">
        <f t="shared" si="125"/>
        <v xml:space="preserve"> --</v>
      </c>
      <c r="BA115" s="196">
        <f>BM34</f>
        <v>1</v>
      </c>
      <c r="BB115" s="177" t="str">
        <f>BS34</f>
        <v xml:space="preserve"> --</v>
      </c>
      <c r="BC115" s="23" t="str">
        <f t="shared" si="113"/>
        <v xml:space="preserve"> --</v>
      </c>
      <c r="BD115" s="96"/>
      <c r="BE115" s="204">
        <v>46</v>
      </c>
      <c r="BF115" s="196" t="str">
        <f>IF(集計!B50="","",集計!B50)</f>
        <v>三井</v>
      </c>
      <c r="BG115" s="224" t="str">
        <f>IF(BF115="","",IF($BA$45=1,IF(ISNA(VLOOKUP(BF115,組合せﾃﾞｰﾀ!$AU$7:$AV$54,2,FALSE)),BF115,VLOOKUP(BF115,組合せﾃﾞｰﾀ!$AU$7:$AV$54,2,FALSE)),BF115))</f>
        <v>三井</v>
      </c>
      <c r="BH115" s="96"/>
      <c r="BI115" s="186"/>
      <c r="BJ115" s="196" t="str">
        <f>組合せﾃﾞｰﾀ!$I50</f>
        <v>三井</v>
      </c>
      <c r="BK115" s="224" t="str">
        <f>IF($BA$45=1,IF(ISNA(VLOOKUP(BJ115,組合せﾃﾞｰﾀ!$AU$7:$AV$54,2,FALSE)),BJ115,VLOOKUP(BJ115,組合せﾃﾞｰﾀ!$AU$7:$AV$54,2,FALSE)),BJ115)</f>
        <v>三井</v>
      </c>
      <c r="BL115" s="23"/>
      <c r="BN115" s="205">
        <v>46</v>
      </c>
      <c r="BO115" s="524" t="str">
        <f t="shared" si="122"/>
        <v>三井</v>
      </c>
      <c r="BP115" s="524" t="str">
        <f t="shared" si="121"/>
        <v>三井</v>
      </c>
      <c r="BR115" s="96">
        <v>46</v>
      </c>
      <c r="BS115" s="206" t="str">
        <f t="shared" si="123"/>
        <v>三井</v>
      </c>
      <c r="BU115" s="522">
        <f t="shared" si="118"/>
        <v>1</v>
      </c>
      <c r="BV115" s="196">
        <f>BA34</f>
        <v>1</v>
      </c>
      <c r="BW115" s="530" t="str">
        <f t="shared" si="126"/>
        <v xml:space="preserve"> --</v>
      </c>
      <c r="BX115" s="531">
        <f t="shared" si="127"/>
        <v>0</v>
      </c>
      <c r="DC115" s="261"/>
    </row>
    <row r="116" spans="44:107" ht="17.25" customHeight="1" x14ac:dyDescent="0.15">
      <c r="AR116" s="261"/>
      <c r="AY116" s="203">
        <f t="shared" si="124"/>
        <v>1</v>
      </c>
      <c r="AZ116" s="196" t="str">
        <f t="shared" si="125"/>
        <v xml:space="preserve"> --</v>
      </c>
      <c r="BA116" s="196">
        <f>BN34</f>
        <v>1</v>
      </c>
      <c r="BB116" s="177" t="str">
        <f>BT34</f>
        <v xml:space="preserve"> --</v>
      </c>
      <c r="BC116" s="23" t="str">
        <f t="shared" si="113"/>
        <v xml:space="preserve"> --</v>
      </c>
      <c r="BD116" s="96"/>
      <c r="BE116" s="204">
        <v>47</v>
      </c>
      <c r="BF116" s="196" t="str">
        <f>IF(集計!B51="","",集計!B51)</f>
        <v>南村</v>
      </c>
      <c r="BG116" s="224" t="str">
        <f>IF(BF116="","",IF($BA$45=1,IF(ISNA(VLOOKUP(BF116,組合せﾃﾞｰﾀ!$AU$7:$AV$54,2,FALSE)),BF116,VLOOKUP(BF116,組合せﾃﾞｰﾀ!$AU$7:$AV$54,2,FALSE)),BF116))</f>
        <v>南村</v>
      </c>
      <c r="BH116" s="96"/>
      <c r="BI116" s="186"/>
      <c r="BJ116" s="196" t="str">
        <f>組合せﾃﾞｰﾀ!$I51</f>
        <v>南村</v>
      </c>
      <c r="BK116" s="224" t="str">
        <f>IF($BA$45=1,IF(ISNA(VLOOKUP(BJ116,組合せﾃﾞｰﾀ!$AU$7:$AV$54,2,FALSE)),BJ116,VLOOKUP(BJ116,組合せﾃﾞｰﾀ!$AU$7:$AV$54,2,FALSE)),BJ116)</f>
        <v>南村</v>
      </c>
      <c r="BL116" s="23"/>
      <c r="BN116" s="205">
        <v>47</v>
      </c>
      <c r="BO116" s="524" t="str">
        <f t="shared" si="122"/>
        <v>南村</v>
      </c>
      <c r="BP116" s="524" t="str">
        <f t="shared" si="121"/>
        <v>南村</v>
      </c>
      <c r="BR116" s="96">
        <v>47</v>
      </c>
      <c r="BS116" s="206" t="str">
        <f t="shared" si="123"/>
        <v>南村</v>
      </c>
      <c r="BU116" s="522">
        <f t="shared" si="118"/>
        <v>1</v>
      </c>
      <c r="BV116" s="196">
        <f>BB34</f>
        <v>1</v>
      </c>
      <c r="BW116" s="530" t="str">
        <f t="shared" si="126"/>
        <v xml:space="preserve"> --</v>
      </c>
      <c r="BX116" s="531">
        <f t="shared" si="127"/>
        <v>0</v>
      </c>
      <c r="DC116" s="261"/>
    </row>
    <row r="117" spans="44:107" ht="17.25" customHeight="1" thickBot="1" x14ac:dyDescent="0.2">
      <c r="AR117" s="261"/>
      <c r="AT117" s="23" t="s">
        <v>258</v>
      </c>
      <c r="AY117" s="203">
        <f t="shared" si="124"/>
        <v>1</v>
      </c>
      <c r="AZ117" s="196" t="str">
        <f t="shared" si="125"/>
        <v xml:space="preserve"> --</v>
      </c>
      <c r="BA117" s="196">
        <f>BO34</f>
        <v>1</v>
      </c>
      <c r="BB117" s="177" t="str">
        <f>BU34</f>
        <v xml:space="preserve"> --</v>
      </c>
      <c r="BC117" s="23" t="str">
        <f t="shared" si="113"/>
        <v xml:space="preserve"> --</v>
      </c>
      <c r="BD117" s="96"/>
      <c r="BE117" s="204">
        <v>48</v>
      </c>
      <c r="BF117" s="196" t="str">
        <f>IF(集計!B52="","",集計!B52)</f>
        <v>宮田</v>
      </c>
      <c r="BG117" s="224" t="str">
        <f>IF(BF117="","",IF($BA$45=1,IF(ISNA(VLOOKUP(BF117,組合せﾃﾞｰﾀ!$AU$7:$AV$54,2,FALSE)),BF117,VLOOKUP(BF117,組合せﾃﾞｰﾀ!$AU$7:$AV$54,2,FALSE)),BF117))</f>
        <v>宮田</v>
      </c>
      <c r="BH117" s="96"/>
      <c r="BI117" s="186"/>
      <c r="BJ117" s="196" t="str">
        <f>組合せﾃﾞｰﾀ!$I52</f>
        <v>宮田</v>
      </c>
      <c r="BK117" s="224" t="str">
        <f>IF($BA$45=1,IF(ISNA(VLOOKUP(BJ117,組合せﾃﾞｰﾀ!$AU$7:$AV$54,2,FALSE)),BJ117,VLOOKUP(BJ117,組合せﾃﾞｰﾀ!$AU$7:$AV$54,2,FALSE)),BJ117)</f>
        <v>宮田</v>
      </c>
      <c r="BL117" s="23"/>
      <c r="BN117" s="205">
        <v>48</v>
      </c>
      <c r="BO117" s="524" t="str">
        <f t="shared" si="122"/>
        <v>宮田</v>
      </c>
      <c r="BP117" s="524" t="str">
        <f t="shared" si="121"/>
        <v>宮田</v>
      </c>
      <c r="BR117" s="96">
        <v>48</v>
      </c>
      <c r="BS117" s="206" t="str">
        <f t="shared" si="123"/>
        <v>宮田</v>
      </c>
      <c r="BU117" s="522">
        <f t="shared" si="118"/>
        <v>1</v>
      </c>
      <c r="BV117" s="196">
        <f>BC34</f>
        <v>1</v>
      </c>
      <c r="BW117" s="530" t="str">
        <f t="shared" si="126"/>
        <v xml:space="preserve"> --</v>
      </c>
      <c r="BX117" s="531">
        <f t="shared" si="127"/>
        <v>0</v>
      </c>
      <c r="DC117" s="261"/>
    </row>
    <row r="118" spans="44:107" ht="17.25" customHeight="1" thickBot="1" x14ac:dyDescent="0.2">
      <c r="AR118" s="261"/>
      <c r="AS118" s="254"/>
      <c r="AT118" s="254" t="s">
        <v>259</v>
      </c>
      <c r="BD118" s="96"/>
      <c r="BE118" s="204">
        <v>49</v>
      </c>
      <c r="BF118" s="196" t="str">
        <f>IF(集計!B53="","",集計!B53)</f>
        <v>村上</v>
      </c>
      <c r="BG118" s="224" t="str">
        <f>IF(BF118="","",IF($BA$45=1,IF(ISNA(VLOOKUP(BF118,組合せﾃﾞｰﾀ!$AU$7:$AV$54,2,FALSE)),BF118,VLOOKUP(BF118,組合せﾃﾞｰﾀ!$AU$7:$AV$54,2,FALSE)),BF118))</f>
        <v>村上</v>
      </c>
      <c r="BH118" s="96"/>
      <c r="BI118" s="186"/>
      <c r="BJ118" s="196" t="str">
        <f>組合せﾃﾞｰﾀ!$I53</f>
        <v>村上</v>
      </c>
      <c r="BK118" s="224" t="str">
        <f>IF($BA$45=1,IF(ISNA(VLOOKUP(BJ118,組合せﾃﾞｰﾀ!$AU$7:$AV$54,2,FALSE)),BJ118,VLOOKUP(BJ118,組合せﾃﾞｰﾀ!$AU$7:$AV$54,2,FALSE)),BJ118)</f>
        <v>村上</v>
      </c>
      <c r="BL118" s="23"/>
      <c r="BN118" s="205">
        <v>49</v>
      </c>
      <c r="BO118" s="524" t="str">
        <f t="shared" si="122"/>
        <v>村上</v>
      </c>
      <c r="BP118" s="524" t="str">
        <f t="shared" si="121"/>
        <v>村上</v>
      </c>
      <c r="BR118" s="96">
        <v>49</v>
      </c>
      <c r="BS118" s="206" t="str">
        <f t="shared" si="123"/>
        <v>村上</v>
      </c>
      <c r="BX118" s="609">
        <f>SUM(BX70:BX117)</f>
        <v>0</v>
      </c>
      <c r="BY118" s="23" t="s">
        <v>477</v>
      </c>
      <c r="DC118" s="261"/>
    </row>
    <row r="119" spans="44:107" ht="17.25" customHeight="1" x14ac:dyDescent="0.15">
      <c r="AR119" s="261"/>
      <c r="AS119" s="254"/>
      <c r="AT119" s="254" t="s">
        <v>272</v>
      </c>
      <c r="BD119" s="96"/>
      <c r="BE119" s="204">
        <v>50</v>
      </c>
      <c r="BF119" s="196" t="str">
        <f>IF(集計!B54="","",集計!B54)</f>
        <v>森</v>
      </c>
      <c r="BG119" s="224" t="str">
        <f>IF(BF119="","",IF($BA$45=1,IF(ISNA(VLOOKUP(BF119,組合せﾃﾞｰﾀ!$AU$7:$AV$54,2,FALSE)),BF119,VLOOKUP(BF119,組合せﾃﾞｰﾀ!$AU$7:$AV$54,2,FALSE)),BF119))</f>
        <v>森</v>
      </c>
      <c r="BH119" s="96"/>
      <c r="BI119" s="186"/>
      <c r="BJ119" s="196" t="str">
        <f>組合せﾃﾞｰﾀ!$I54</f>
        <v>森</v>
      </c>
      <c r="BK119" s="224" t="str">
        <f>IF($BA$45=1,IF(ISNA(VLOOKUP(BJ119,組合せﾃﾞｰﾀ!$AU$7:$AV$54,2,FALSE)),BJ119,VLOOKUP(BJ119,組合せﾃﾞｰﾀ!$AU$7:$AV$54,2,FALSE)),BJ119)</f>
        <v>森</v>
      </c>
      <c r="BL119" s="23"/>
      <c r="BN119" s="205">
        <v>50</v>
      </c>
      <c r="BO119" s="524" t="str">
        <f t="shared" si="122"/>
        <v>森</v>
      </c>
      <c r="BP119" s="524" t="str">
        <f t="shared" si="121"/>
        <v>森</v>
      </c>
      <c r="BR119" s="96">
        <v>50</v>
      </c>
      <c r="BS119" s="206" t="str">
        <f t="shared" si="123"/>
        <v>森</v>
      </c>
      <c r="BY119" s="23" t="s">
        <v>478</v>
      </c>
      <c r="DC119" s="261"/>
    </row>
    <row r="120" spans="44:107" ht="17.25" customHeight="1" x14ac:dyDescent="0.15">
      <c r="AR120" s="261"/>
      <c r="AS120" s="254"/>
      <c r="AT120" s="254" t="s">
        <v>273</v>
      </c>
      <c r="BD120" s="96"/>
      <c r="BE120" s="204">
        <v>51</v>
      </c>
      <c r="BF120" s="196" t="str">
        <f>IF(集計!B55="","",集計!B55)</f>
        <v>山中</v>
      </c>
      <c r="BG120" s="224" t="str">
        <f>IF(BF120="","",IF($BA$45=1,IF(ISNA(VLOOKUP(BF120,組合せﾃﾞｰﾀ!$AU$7:$AV$54,2,FALSE)),BF120,VLOOKUP(BF120,組合せﾃﾞｰﾀ!$AU$7:$AV$54,2,FALSE)),BF120))</f>
        <v>山中</v>
      </c>
      <c r="BH120" s="96"/>
      <c r="BI120" s="186"/>
      <c r="BJ120" s="196" t="str">
        <f>組合せﾃﾞｰﾀ!$I55</f>
        <v>山中</v>
      </c>
      <c r="BK120" s="224" t="str">
        <f>IF($BA$45=1,IF(ISNA(VLOOKUP(BJ120,組合せﾃﾞｰﾀ!$AU$7:$AV$54,2,FALSE)),BJ120,VLOOKUP(BJ120,組合せﾃﾞｰﾀ!$AU$7:$AV$54,2,FALSE)),BJ120)</f>
        <v>山中</v>
      </c>
      <c r="BL120" s="23"/>
      <c r="BN120" s="205">
        <v>51</v>
      </c>
      <c r="BO120" s="524" t="str">
        <f t="shared" si="122"/>
        <v>山中</v>
      </c>
      <c r="BP120" s="524" t="str">
        <f t="shared" si="121"/>
        <v>山中</v>
      </c>
      <c r="BR120" s="96">
        <v>51</v>
      </c>
      <c r="BS120" s="206" t="str">
        <f t="shared" si="123"/>
        <v>山中</v>
      </c>
      <c r="DC120" s="261"/>
    </row>
    <row r="121" spans="44:107" ht="17.25" customHeight="1" x14ac:dyDescent="0.15">
      <c r="AR121" s="261"/>
      <c r="AS121" s="254"/>
      <c r="AT121" s="254" t="s">
        <v>271</v>
      </c>
      <c r="BD121" s="96"/>
      <c r="BE121" s="204">
        <v>52</v>
      </c>
      <c r="BF121" s="196" t="str">
        <f>IF(集計!B56="","",集計!B56)</f>
        <v>湯浅</v>
      </c>
      <c r="BG121" s="224" t="str">
        <f>IF(BF121="","",IF($BA$45=1,IF(ISNA(VLOOKUP(BF121,組合せﾃﾞｰﾀ!$AU$7:$AV$54,2,FALSE)),BF121,VLOOKUP(BF121,組合せﾃﾞｰﾀ!$AU$7:$AV$54,2,FALSE)),BF121))</f>
        <v>湯浅</v>
      </c>
      <c r="BH121" s="96"/>
      <c r="BI121" s="186"/>
      <c r="BJ121" s="196" t="str">
        <f>組合せﾃﾞｰﾀ!$I56</f>
        <v>湯浅</v>
      </c>
      <c r="BK121" s="224" t="str">
        <f>IF($BA$45=1,IF(ISNA(VLOOKUP(BJ121,組合せﾃﾞｰﾀ!$AU$7:$AV$54,2,FALSE)),BJ121,VLOOKUP(BJ121,組合せﾃﾞｰﾀ!$AU$7:$AV$54,2,FALSE)),BJ121)</f>
        <v>湯浅</v>
      </c>
      <c r="BL121" s="23"/>
      <c r="BN121" s="205">
        <v>52</v>
      </c>
      <c r="BO121" s="524" t="str">
        <f t="shared" si="122"/>
        <v>湯浅</v>
      </c>
      <c r="BP121" s="524" t="str">
        <f t="shared" si="121"/>
        <v>湯浅</v>
      </c>
      <c r="BR121" s="96">
        <v>52</v>
      </c>
      <c r="BS121" s="206" t="str">
        <f t="shared" si="123"/>
        <v>湯浅</v>
      </c>
      <c r="DC121" s="261"/>
    </row>
    <row r="122" spans="44:107" ht="17.25" customHeight="1" x14ac:dyDescent="0.15">
      <c r="AR122" s="261"/>
      <c r="BD122" s="96"/>
      <c r="BE122" s="204">
        <v>53</v>
      </c>
      <c r="BF122" s="196" t="str">
        <f>IF(集計!B57="","",集計!B57)</f>
        <v>横山</v>
      </c>
      <c r="BG122" s="224" t="str">
        <f>IF(BF122="","",IF($BA$45=1,IF(ISNA(VLOOKUP(BF122,組合せﾃﾞｰﾀ!$AU$7:$AV$54,2,FALSE)),BF122,VLOOKUP(BF122,組合せﾃﾞｰﾀ!$AU$7:$AV$54,2,FALSE)),BF122))</f>
        <v>横山</v>
      </c>
      <c r="BH122" s="96"/>
      <c r="BI122" s="186"/>
      <c r="BJ122" s="196" t="str">
        <f>組合せﾃﾞｰﾀ!$I57</f>
        <v>横山</v>
      </c>
      <c r="BK122" s="224" t="str">
        <f>IF($BA$45=1,IF(ISNA(VLOOKUP(BJ122,組合せﾃﾞｰﾀ!$AU$7:$AV$54,2,FALSE)),BJ122,VLOOKUP(BJ122,組合せﾃﾞｰﾀ!$AU$7:$AV$54,2,FALSE)),BJ122)</f>
        <v>横山</v>
      </c>
      <c r="BL122" s="23"/>
      <c r="BN122" s="205">
        <v>53</v>
      </c>
      <c r="BO122" s="524" t="str">
        <f t="shared" si="122"/>
        <v>横山</v>
      </c>
      <c r="BP122" s="524" t="str">
        <f t="shared" si="121"/>
        <v>横山</v>
      </c>
      <c r="BR122" s="96">
        <v>53</v>
      </c>
      <c r="BS122" s="206" t="str">
        <f t="shared" si="123"/>
        <v>横山</v>
      </c>
      <c r="DC122" s="261"/>
    </row>
    <row r="123" spans="44:107" ht="17.25" customHeight="1" x14ac:dyDescent="0.15">
      <c r="AR123" s="261"/>
      <c r="BD123" s="96"/>
      <c r="BE123" s="204">
        <v>54</v>
      </c>
      <c r="BF123" s="196" t="str">
        <f>IF(集計!B58="","",集計!B58)</f>
        <v>吉澤</v>
      </c>
      <c r="BG123" s="224" t="str">
        <f>IF(BF123="","",IF($BA$45=1,IF(ISNA(VLOOKUP(BF123,組合せﾃﾞｰﾀ!$AU$7:$AV$54,2,FALSE)),BF123,VLOOKUP(BF123,組合せﾃﾞｰﾀ!$AU$7:$AV$54,2,FALSE)),BF123))</f>
        <v>吉澤</v>
      </c>
      <c r="BH123" s="96"/>
      <c r="BI123" s="186"/>
      <c r="BJ123" s="196" t="str">
        <f>組合せﾃﾞｰﾀ!$I58</f>
        <v>吉澤</v>
      </c>
      <c r="BK123" s="224" t="str">
        <f>IF($BA$45=1,IF(ISNA(VLOOKUP(BJ123,組合せﾃﾞｰﾀ!$AU$7:$AV$54,2,FALSE)),BJ123,VLOOKUP(BJ123,組合せﾃﾞｰﾀ!$AU$7:$AV$54,2,FALSE)),BJ123)</f>
        <v>吉澤</v>
      </c>
      <c r="BL123" s="23"/>
      <c r="BN123" s="205">
        <v>54</v>
      </c>
      <c r="BO123" s="524" t="str">
        <f t="shared" si="122"/>
        <v>吉澤</v>
      </c>
      <c r="BP123" s="524" t="str">
        <f t="shared" si="121"/>
        <v>吉澤</v>
      </c>
      <c r="BR123" s="96">
        <v>54</v>
      </c>
      <c r="BS123" s="206" t="str">
        <f t="shared" si="123"/>
        <v>吉澤</v>
      </c>
      <c r="DC123" s="261"/>
    </row>
    <row r="124" spans="44:107" ht="17.25" customHeight="1" x14ac:dyDescent="0.15">
      <c r="AR124" s="261"/>
      <c r="BD124" s="96"/>
      <c r="BE124" s="204">
        <v>55</v>
      </c>
      <c r="BF124" s="196" t="str">
        <f>IF(集計!B59="","",集計!B59)</f>
        <v>吉田</v>
      </c>
      <c r="BG124" s="224" t="str">
        <f>IF(BF124="","",IF($BA$45=1,IF(ISNA(VLOOKUP(BF124,組合せﾃﾞｰﾀ!$AU$7:$AV$54,2,FALSE)),BF124,VLOOKUP(BF124,組合せﾃﾞｰﾀ!$AU$7:$AV$54,2,FALSE)),BF124))</f>
        <v>吉田</v>
      </c>
      <c r="BH124" s="96"/>
      <c r="BI124" s="186"/>
      <c r="BJ124" s="196" t="str">
        <f>組合せﾃﾞｰﾀ!$I59</f>
        <v>吉田</v>
      </c>
      <c r="BK124" s="224" t="str">
        <f>IF($BA$45=1,IF(ISNA(VLOOKUP(BJ124,組合せﾃﾞｰﾀ!$AU$7:$AV$54,2,FALSE)),BJ124,VLOOKUP(BJ124,組合せﾃﾞｰﾀ!$AU$7:$AV$54,2,FALSE)),BJ124)</f>
        <v>吉田</v>
      </c>
      <c r="BL124" s="23"/>
      <c r="BN124" s="205">
        <v>55</v>
      </c>
      <c r="BO124" s="524" t="str">
        <f t="shared" si="122"/>
        <v>吉田</v>
      </c>
      <c r="BP124" s="524" t="str">
        <f t="shared" si="121"/>
        <v>吉田</v>
      </c>
      <c r="BR124" s="96">
        <v>55</v>
      </c>
      <c r="BS124" s="206" t="str">
        <f t="shared" si="123"/>
        <v>吉田</v>
      </c>
      <c r="DC124" s="261"/>
    </row>
    <row r="125" spans="44:107" ht="17.25" customHeight="1" x14ac:dyDescent="0.15">
      <c r="AR125" s="261"/>
      <c r="BD125" s="96"/>
      <c r="BE125" s="196">
        <v>56</v>
      </c>
      <c r="BF125" s="196" t="str">
        <f>IF(集計!B60="","",集計!B60)</f>
        <v>渡辺昭</v>
      </c>
      <c r="BG125" s="224" t="str">
        <f>IF(BF125="","",IF($BA$45=1,IF(ISNA(VLOOKUP(BF125,組合せﾃﾞｰﾀ!$AU$7:$AV$54,2,FALSE)),BF125,VLOOKUP(BF125,組合せﾃﾞｰﾀ!$AU$7:$AV$54,2,FALSE)),BF125))</f>
        <v>渡辺昭</v>
      </c>
      <c r="BH125" s="96"/>
      <c r="BJ125" s="196" t="str">
        <f>組合せﾃﾞｰﾀ!$I60</f>
        <v>渡辺昭</v>
      </c>
      <c r="BK125" s="224" t="str">
        <f>IF($BA$45=1,IF(ISNA(VLOOKUP(BJ125,組合せﾃﾞｰﾀ!$AU$7:$AV$54,2,FALSE)),BJ125,VLOOKUP(BJ125,組合せﾃﾞｰﾀ!$AU$7:$AV$54,2,FALSE)),BJ125)</f>
        <v>渡辺昭</v>
      </c>
      <c r="BL125" s="23"/>
      <c r="BN125" s="205">
        <v>56</v>
      </c>
      <c r="BO125" s="524" t="str">
        <f t="shared" si="122"/>
        <v>渡辺昭</v>
      </c>
      <c r="BP125" s="524" t="str">
        <f t="shared" si="121"/>
        <v>渡辺昭</v>
      </c>
      <c r="BR125" s="96">
        <v>56</v>
      </c>
      <c r="BS125" s="206" t="str">
        <f t="shared" si="123"/>
        <v>渡辺昭</v>
      </c>
      <c r="DC125" s="261"/>
    </row>
    <row r="126" spans="44:107" ht="17.25" customHeight="1" x14ac:dyDescent="0.15">
      <c r="AR126" s="261"/>
      <c r="BD126" s="96"/>
      <c r="BE126" s="196">
        <v>57</v>
      </c>
      <c r="BF126" s="196" t="str">
        <f>IF(集計!B61="","",集計!B61)</f>
        <v>渡辺政</v>
      </c>
      <c r="BG126" s="224" t="str">
        <f>IF(BF126="","",IF($BA$45=1,IF(ISNA(VLOOKUP(BF126,組合せﾃﾞｰﾀ!$AU$7:$AV$54,2,FALSE)),BF126,VLOOKUP(BF126,組合せﾃﾞｰﾀ!$AU$7:$AV$54,2,FALSE)),BF126))</f>
        <v>渡辺政</v>
      </c>
      <c r="BH126" s="96"/>
      <c r="BJ126" s="196" t="str">
        <f>組合せﾃﾞｰﾀ!$I61</f>
        <v>渡辺政</v>
      </c>
      <c r="BK126" s="224" t="str">
        <f>IF($BA$45=1,IF(ISNA(VLOOKUP(BJ126,組合せﾃﾞｰﾀ!$AU$7:$AV$54,2,FALSE)),BJ126,VLOOKUP(BJ126,組合せﾃﾞｰﾀ!$AU$7:$AV$54,2,FALSE)),BJ126)</f>
        <v>渡辺政</v>
      </c>
      <c r="BL126" s="23"/>
      <c r="BN126" s="205">
        <v>57</v>
      </c>
      <c r="BO126" s="524" t="str">
        <f t="shared" si="122"/>
        <v>渡辺政</v>
      </c>
      <c r="BP126" s="524" t="str">
        <f t="shared" si="121"/>
        <v>渡辺政</v>
      </c>
      <c r="BR126" s="96">
        <v>57</v>
      </c>
      <c r="BS126" s="206" t="str">
        <f t="shared" si="123"/>
        <v>渡辺政</v>
      </c>
      <c r="DC126" s="261"/>
    </row>
    <row r="127" spans="44:107" ht="17.25" customHeight="1" x14ac:dyDescent="0.15">
      <c r="AR127" s="261"/>
      <c r="BB127" s="207" t="s">
        <v>228</v>
      </c>
      <c r="BC127" s="208">
        <f>COUNTA($BF$70:$BF$136)</f>
        <v>67</v>
      </c>
      <c r="BD127" s="96"/>
      <c r="BE127" s="196">
        <v>58</v>
      </c>
      <c r="BF127" s="196" t="str">
        <f>IF(集計!B62="","",集計!B62)</f>
        <v>村中</v>
      </c>
      <c r="BG127" s="224" t="str">
        <f>IF(BF127="","",IF($BA$45=1,IF(ISNA(VLOOKUP(BF127,組合せﾃﾞｰﾀ!$AU$7:$AV$54,2,FALSE)),BF127,VLOOKUP(BF127,組合せﾃﾞｰﾀ!$AU$7:$AV$54,2,FALSE)),BF127))</f>
        <v>村中</v>
      </c>
      <c r="BH127" s="96"/>
      <c r="BJ127" s="196" t="str">
        <f>組合せﾃﾞｰﾀ!$I62</f>
        <v>村中</v>
      </c>
      <c r="BK127" s="224" t="str">
        <f>IF($BA$45=1,IF(ISNA(VLOOKUP(BJ127,組合せﾃﾞｰﾀ!$AU$7:$AV$54,2,FALSE)),BJ127,VLOOKUP(BJ127,組合せﾃﾞｰﾀ!$AU$7:$AV$54,2,FALSE)),BJ127)</f>
        <v>村中</v>
      </c>
      <c r="BL127" s="23"/>
      <c r="BN127" s="205">
        <v>58</v>
      </c>
      <c r="BO127" s="524" t="str">
        <f t="shared" si="122"/>
        <v>村中</v>
      </c>
      <c r="BP127" s="524" t="str">
        <f t="shared" si="121"/>
        <v>村中</v>
      </c>
      <c r="BR127" s="96">
        <v>58</v>
      </c>
      <c r="BS127" s="206" t="str">
        <f t="shared" si="123"/>
        <v>村中</v>
      </c>
      <c r="DC127" s="261"/>
    </row>
    <row r="128" spans="44:107" ht="17.25" customHeight="1" x14ac:dyDescent="0.15">
      <c r="AR128" s="261"/>
      <c r="BA128" s="252" t="s">
        <v>229</v>
      </c>
      <c r="BD128" s="96"/>
      <c r="BE128" s="196">
        <v>59</v>
      </c>
      <c r="BF128" s="196" t="str">
        <f>IF(集計!B63="","",集計!B63)</f>
        <v>奈良</v>
      </c>
      <c r="BG128" s="224" t="str">
        <f>IF(BF128="","",IF($BA$45=1,IF(ISNA(VLOOKUP(BF128,組合せﾃﾞｰﾀ!$AU$7:$AV$54,2,FALSE)),BF128,VLOOKUP(BF128,組合せﾃﾞｰﾀ!$AU$7:$AV$54,2,FALSE)),BF128))</f>
        <v>奈良</v>
      </c>
      <c r="BH128" s="96"/>
      <c r="BJ128" s="196" t="str">
        <f>組合せﾃﾞｰﾀ!$I63</f>
        <v>奈良</v>
      </c>
      <c r="BK128" s="224" t="str">
        <f>IF($BA$45=1,IF(ISNA(VLOOKUP(BJ128,組合せﾃﾞｰﾀ!$AU$7:$AV$54,2,FALSE)),BJ128,VLOOKUP(BJ128,組合せﾃﾞｰﾀ!$AU$7:$AV$54,2,FALSE)),BJ128)</f>
        <v>奈良</v>
      </c>
      <c r="BL128" s="23"/>
      <c r="BN128" s="205">
        <v>59</v>
      </c>
      <c r="BO128" s="524" t="str">
        <f t="shared" si="122"/>
        <v>奈良</v>
      </c>
      <c r="BP128" s="524" t="str">
        <f t="shared" si="121"/>
        <v>奈良</v>
      </c>
      <c r="BR128" s="96">
        <v>59</v>
      </c>
      <c r="BS128" s="206" t="str">
        <f t="shared" si="123"/>
        <v>奈良</v>
      </c>
      <c r="DC128" s="261"/>
    </row>
    <row r="129" spans="25:107" ht="17.25" customHeight="1" thickBot="1" x14ac:dyDescent="0.2">
      <c r="AR129" s="261"/>
      <c r="BB129" s="95" t="s">
        <v>227</v>
      </c>
      <c r="BC129" s="23">
        <f>60-(COUNTIF($BF$70:$BF$129,"ｷｬﾝｾﾙ*")+COUNTIF($BF$70:$BF$129," --"))</f>
        <v>59</v>
      </c>
      <c r="BD129" s="96"/>
      <c r="BE129" s="417">
        <v>60</v>
      </c>
      <c r="BF129" s="417" t="str">
        <f>IF(集計!B64="","",集計!B64)</f>
        <v/>
      </c>
      <c r="BG129" s="224" t="str">
        <f>IF(BF129="","",IF($BA$45=1,IF(ISNA(VLOOKUP(BF129,組合せﾃﾞｰﾀ!$AU$7:$AV$54,2,FALSE)),BF129,VLOOKUP(BF129,組合せﾃﾞｰﾀ!$AU$7:$AV$54,2,FALSE)),BF129))</f>
        <v/>
      </c>
      <c r="BH129" s="418"/>
      <c r="BI129" s="412"/>
      <c r="BJ129" s="417" t="str">
        <f>組合せﾃﾞｰﾀ!$I64</f>
        <v/>
      </c>
      <c r="BK129" s="224" t="str">
        <f>IF($BA$45=1,IF(ISNA(VLOOKUP(BJ129,組合せﾃﾞｰﾀ!$AU$7:$AV$54,2,FALSE)),BJ129,VLOOKUP(BJ129,組合せﾃﾞｰﾀ!$AU$7:$AV$54,2,FALSE)),BJ129)</f>
        <v/>
      </c>
      <c r="BL129" s="412"/>
      <c r="BM129" s="418"/>
      <c r="BN129" s="419">
        <v>60</v>
      </c>
      <c r="BO129" s="525" t="str">
        <f t="shared" si="122"/>
        <v/>
      </c>
      <c r="BP129" s="524" t="str">
        <f t="shared" si="121"/>
        <v/>
      </c>
      <c r="BQ129" s="412"/>
      <c r="BR129" s="96">
        <v>60</v>
      </c>
      <c r="BS129" s="420" t="str">
        <f t="shared" si="123"/>
        <v/>
      </c>
      <c r="BT129" s="412"/>
      <c r="BU129" s="421" t="s">
        <v>351</v>
      </c>
      <c r="DC129" s="261"/>
    </row>
    <row r="130" spans="25:107" ht="17.25" customHeight="1" thickTop="1" x14ac:dyDescent="0.15">
      <c r="AR130" s="261"/>
      <c r="BE130" s="23">
        <v>61</v>
      </c>
      <c r="BF130" s="23" t="str">
        <f>IF(集計!B65="","",集計!B65)</f>
        <v/>
      </c>
      <c r="BG130" s="224" t="str">
        <f>IF(BF130="","",IF($BA$45=1,IF(ISNA(VLOOKUP(BF130,組合せﾃﾞｰﾀ!$AU$7:$AV$54,2,FALSE)),BF130,VLOOKUP(BF130,組合せﾃﾞｰﾀ!$AU$7:$AV$54,2,FALSE)),BF130))</f>
        <v/>
      </c>
      <c r="BJ130" s="203" t="str">
        <f>組合せﾃﾞｰﾀ!$I65</f>
        <v/>
      </c>
      <c r="BK130" s="224" t="str">
        <f>IF($BA$45=1,IF(ISNA(VLOOKUP(BJ130,組合せﾃﾞｰﾀ!$AU$7:$AV$54,2,FALSE)),BJ130,VLOOKUP(BJ130,組合せﾃﾞｰﾀ!$AU$7:$AV$54,2,FALSE)),BJ130)</f>
        <v/>
      </c>
      <c r="BN130" s="96">
        <v>61</v>
      </c>
      <c r="BO130" s="526" t="str">
        <f t="shared" si="122"/>
        <v/>
      </c>
      <c r="BP130" s="524" t="str">
        <f t="shared" si="121"/>
        <v/>
      </c>
      <c r="BR130" s="96">
        <v>61</v>
      </c>
      <c r="BS130" s="416" t="str">
        <f t="shared" si="123"/>
        <v/>
      </c>
      <c r="DC130" s="261"/>
    </row>
    <row r="131" spans="25:107" ht="17.25" customHeight="1" x14ac:dyDescent="0.15">
      <c r="AR131" s="261"/>
      <c r="BE131" s="23">
        <v>62</v>
      </c>
      <c r="BF131" s="23" t="str">
        <f>IF(集計!B66="","",集計!B66)</f>
        <v/>
      </c>
      <c r="BG131" s="224" t="str">
        <f>IF(BF131="","",IF($BA$45=1,IF(ISNA(VLOOKUP(BF131,組合せﾃﾞｰﾀ!$AU$7:$AV$54,2,FALSE)),BF131,VLOOKUP(BF131,組合せﾃﾞｰﾀ!$AU$7:$AV$54,2,FALSE)),BF131))</f>
        <v/>
      </c>
      <c r="BH131" s="98"/>
      <c r="BJ131" s="196" t="str">
        <f>組合せﾃﾞｰﾀ!$I66</f>
        <v/>
      </c>
      <c r="BK131" s="224" t="str">
        <f>IF($BA$45=1,IF(ISNA(VLOOKUP(BJ131,組合せﾃﾞｰﾀ!$AU$7:$AV$54,2,FALSE)),BJ131,VLOOKUP(BJ131,組合せﾃﾞｰﾀ!$AU$7:$AV$54,2,FALSE)),BJ131)</f>
        <v/>
      </c>
      <c r="BN131" s="96">
        <v>62</v>
      </c>
      <c r="BO131" s="524" t="str">
        <f t="shared" si="122"/>
        <v/>
      </c>
      <c r="BP131" s="524" t="str">
        <f t="shared" si="121"/>
        <v/>
      </c>
      <c r="BR131" s="96">
        <v>62</v>
      </c>
      <c r="BS131" s="206" t="str">
        <f t="shared" si="123"/>
        <v/>
      </c>
      <c r="DC131" s="261"/>
    </row>
    <row r="132" spans="25:107" x14ac:dyDescent="0.15">
      <c r="AR132" s="261"/>
      <c r="BE132" s="23">
        <v>63</v>
      </c>
      <c r="BF132" s="23" t="str">
        <f>IF(集計!B67="","",集計!B67)</f>
        <v/>
      </c>
      <c r="BG132" s="224" t="str">
        <f>IF(BF132="","",IF($BA$45=1,IF(ISNA(VLOOKUP(BF132,組合せﾃﾞｰﾀ!$AU$7:$AV$54,2,FALSE)),BF132,VLOOKUP(BF132,組合せﾃﾞｰﾀ!$AU$7:$AV$54,2,FALSE)),BF132))</f>
        <v/>
      </c>
      <c r="BJ132" s="196" t="str">
        <f>組合せﾃﾞｰﾀ!$I67</f>
        <v/>
      </c>
      <c r="BK132" s="224" t="str">
        <f>IF($BA$45=1,IF(ISNA(VLOOKUP(BJ132,組合せﾃﾞｰﾀ!$AU$7:$AV$54,2,FALSE)),BJ132,VLOOKUP(BJ132,組合せﾃﾞｰﾀ!$AU$7:$AV$54,2,FALSE)),BJ132)</f>
        <v/>
      </c>
      <c r="BN132" s="96">
        <v>63</v>
      </c>
      <c r="BO132" s="524" t="str">
        <f t="shared" si="122"/>
        <v/>
      </c>
      <c r="BP132" s="524" t="str">
        <f t="shared" si="121"/>
        <v/>
      </c>
      <c r="BR132" s="96">
        <v>63</v>
      </c>
      <c r="BS132" s="206" t="str">
        <f t="shared" si="123"/>
        <v/>
      </c>
      <c r="DC132" s="261"/>
    </row>
    <row r="133" spans="25:107" x14ac:dyDescent="0.15">
      <c r="Y133"/>
      <c r="AA133" s="15"/>
      <c r="AR133" s="261"/>
      <c r="BE133" s="23">
        <v>64</v>
      </c>
      <c r="BF133" s="23" t="str">
        <f>IF(集計!B68="","",集計!B68)</f>
        <v/>
      </c>
      <c r="BG133" s="224" t="str">
        <f>IF(BF133="","",IF($BA$45=1,IF(ISNA(VLOOKUP(BF133,組合せﾃﾞｰﾀ!$AU$7:$AV$54,2,FALSE)),BF133,VLOOKUP(BF133,組合せﾃﾞｰﾀ!$AU$7:$AV$54,2,FALSE)),BF133))</f>
        <v/>
      </c>
      <c r="BJ133" s="196" t="str">
        <f>組合せﾃﾞｰﾀ!$I68</f>
        <v/>
      </c>
      <c r="BK133" s="224" t="str">
        <f>IF($BA$45=1,IF(ISNA(VLOOKUP(BJ133,組合せﾃﾞｰﾀ!$AU$7:$AV$54,2,FALSE)),BJ133,VLOOKUP(BJ133,組合せﾃﾞｰﾀ!$AU$7:$AV$54,2,FALSE)),BJ133)</f>
        <v/>
      </c>
      <c r="BN133" s="96">
        <v>64</v>
      </c>
      <c r="BO133" s="524" t="str">
        <f t="shared" si="122"/>
        <v/>
      </c>
      <c r="BP133" s="524" t="str">
        <f t="shared" si="121"/>
        <v/>
      </c>
      <c r="BR133" s="96">
        <v>64</v>
      </c>
      <c r="BS133" s="206" t="str">
        <f t="shared" si="123"/>
        <v/>
      </c>
      <c r="DC133" s="261"/>
    </row>
    <row r="134" spans="25:107" x14ac:dyDescent="0.15">
      <c r="AR134" s="261"/>
      <c r="BB134" s="23" t="s">
        <v>350</v>
      </c>
      <c r="BE134" s="23">
        <v>65</v>
      </c>
      <c r="BF134" s="23" t="str">
        <f>IF(集計!B69="","",集計!B69)</f>
        <v/>
      </c>
      <c r="BG134" s="224" t="str">
        <f>IF(BF134="","",IF($BA$45=1,IF(ISNA(VLOOKUP(BF134,組合せﾃﾞｰﾀ!$AU$7:$AV$54,2,FALSE)),BF134,VLOOKUP(BF134,組合せﾃﾞｰﾀ!$AU$7:$AV$54,2,FALSE)),BF134))</f>
        <v/>
      </c>
      <c r="BJ134" s="196" t="str">
        <f>組合せﾃﾞｰﾀ!$I69</f>
        <v/>
      </c>
      <c r="BK134" s="224" t="str">
        <f>IF($BA$45=1,IF(ISNA(VLOOKUP(BJ134,組合せﾃﾞｰﾀ!$AU$7:$AV$54,2,FALSE)),BJ134,VLOOKUP(BJ134,組合せﾃﾞｰﾀ!$AU$7:$AV$54,2,FALSE)),BJ134)</f>
        <v/>
      </c>
      <c r="BN134" s="96">
        <v>65</v>
      </c>
      <c r="BO134" s="524" t="str">
        <f t="shared" si="122"/>
        <v/>
      </c>
      <c r="BP134" s="524" t="str">
        <f t="shared" si="121"/>
        <v/>
      </c>
      <c r="BR134" s="96">
        <v>65</v>
      </c>
      <c r="BS134" s="206" t="str">
        <f t="shared" si="123"/>
        <v/>
      </c>
      <c r="DC134" s="261"/>
    </row>
    <row r="135" spans="25:107" ht="14.25" thickBot="1" x14ac:dyDescent="0.2">
      <c r="AR135" s="261"/>
      <c r="BB135" s="23" t="s">
        <v>350</v>
      </c>
      <c r="BE135" s="412">
        <v>66</v>
      </c>
      <c r="BF135" s="412" t="str">
        <f>IF(集計!B70="","",集計!B70)</f>
        <v/>
      </c>
      <c r="BG135" s="224" t="str">
        <f>IF(BF135="","",IF($BA$45=1,IF(ISNA(VLOOKUP(BF135,組合せﾃﾞｰﾀ!$AU$7:$AV$54,2,FALSE)),BF135,VLOOKUP(BF135,組合せﾃﾞｰﾀ!$AU$7:$AV$54,2,FALSE)),BF135))</f>
        <v/>
      </c>
      <c r="BJ135" s="196" t="str">
        <f>組合せﾃﾞｰﾀ!$I70</f>
        <v/>
      </c>
      <c r="BK135" s="224" t="str">
        <f>IF($BA$45=1,IF(ISNA(VLOOKUP(BJ135,組合せﾃﾞｰﾀ!$AU$7:$AV$54,2,FALSE)),BJ135,VLOOKUP(BJ135,組合せﾃﾞｰﾀ!$AU$7:$AV$54,2,FALSE)),BJ135)</f>
        <v/>
      </c>
      <c r="BN135" s="96">
        <v>66</v>
      </c>
      <c r="BO135" s="524" t="str">
        <f t="shared" si="122"/>
        <v/>
      </c>
      <c r="BP135" s="524" t="str">
        <f t="shared" si="121"/>
        <v/>
      </c>
      <c r="BR135" s="96">
        <v>66</v>
      </c>
      <c r="BS135" s="206" t="str">
        <f t="shared" si="123"/>
        <v/>
      </c>
      <c r="DC135" s="261"/>
    </row>
    <row r="136" spans="25:107" ht="14.25" thickTop="1" x14ac:dyDescent="0.15">
      <c r="AR136" s="261"/>
      <c r="BF136" s="23" t="str">
        <f>IF(集計!B71="","",集計!B71)</f>
        <v/>
      </c>
      <c r="BG136" s="23" t="str">
        <f>IF(BF136="","",IF($BA$45=1,IF(ISNA(VLOOKUP(BF136,組合せﾃﾞｰﾀ!$AU$7:$AV$46,2,FALSE)),BF136,VLOOKUP(BF136,組合せﾃﾞｰﾀ!$AU$7:$AV$46,2,FALSE)),BF136))</f>
        <v/>
      </c>
      <c r="DC136" s="261"/>
    </row>
    <row r="137" spans="25:107" x14ac:dyDescent="0.15">
      <c r="AR137" s="261"/>
      <c r="DC137" s="261"/>
    </row>
    <row r="138" spans="25:107" x14ac:dyDescent="0.15">
      <c r="AR138" s="261"/>
      <c r="AS138" s="261"/>
      <c r="AT138" s="261"/>
      <c r="AU138" s="261"/>
      <c r="AV138" s="261"/>
      <c r="AW138" s="261"/>
      <c r="AX138" s="262"/>
      <c r="AY138" s="261"/>
      <c r="AZ138" s="261"/>
      <c r="BA138" s="261"/>
      <c r="BB138" s="261"/>
      <c r="BC138" s="261"/>
      <c r="BD138" s="261"/>
      <c r="BE138" s="261"/>
      <c r="BF138" s="261"/>
      <c r="BG138" s="261"/>
      <c r="BH138" s="261"/>
      <c r="BI138" s="261"/>
      <c r="BJ138" s="261"/>
      <c r="BK138" s="263"/>
      <c r="BL138" s="263"/>
      <c r="BM138" s="263"/>
      <c r="BN138" s="263"/>
      <c r="BO138" s="263"/>
      <c r="BP138" s="261"/>
      <c r="BQ138" s="261"/>
      <c r="BR138" s="261"/>
      <c r="BS138" s="261"/>
      <c r="BT138" s="261"/>
      <c r="BU138" s="261"/>
      <c r="BV138" s="261"/>
      <c r="BW138" s="261"/>
      <c r="BX138" s="261"/>
      <c r="BY138" s="261"/>
      <c r="BZ138" s="261"/>
      <c r="CA138" s="261"/>
      <c r="CB138" s="261"/>
      <c r="CC138" s="261"/>
      <c r="CD138" s="261"/>
      <c r="CE138" s="261"/>
      <c r="CF138" s="261"/>
      <c r="CG138" s="261"/>
      <c r="CH138" s="261"/>
      <c r="CI138" s="261"/>
      <c r="CJ138" s="261"/>
      <c r="CK138" s="261"/>
      <c r="CL138" s="261"/>
      <c r="CM138" s="261"/>
      <c r="CN138" s="261"/>
      <c r="CO138" s="261"/>
      <c r="CP138" s="261"/>
      <c r="CQ138" s="261"/>
      <c r="CR138" s="261"/>
      <c r="CS138" s="261"/>
      <c r="CT138" s="261"/>
      <c r="CU138" s="261"/>
      <c r="CV138" s="261"/>
      <c r="CW138" s="261"/>
      <c r="CX138" s="261"/>
      <c r="CY138" s="261"/>
      <c r="CZ138" s="261"/>
      <c r="DA138" s="261"/>
      <c r="DB138" s="261"/>
      <c r="DC138" s="261"/>
    </row>
  </sheetData>
  <sheetProtection password="EBCD" sheet="1" objects="1" scenarios="1" selectLockedCells="1"/>
  <dataConsolidate/>
  <mergeCells count="15">
    <mergeCell ref="Y54:AA54"/>
    <mergeCell ref="Y55:AA55"/>
    <mergeCell ref="Q21:R21"/>
    <mergeCell ref="BC47:BE47"/>
    <mergeCell ref="Q22:R22"/>
    <mergeCell ref="Q54:R54"/>
    <mergeCell ref="Q55:R55"/>
    <mergeCell ref="S54:T54"/>
    <mergeCell ref="S55:T55"/>
    <mergeCell ref="U54:V54"/>
    <mergeCell ref="U55:V55"/>
    <mergeCell ref="Q53:R53"/>
    <mergeCell ref="S53:T53"/>
    <mergeCell ref="U53:V53"/>
    <mergeCell ref="Y53:AA53"/>
  </mergeCells>
  <phoneticPr fontId="11"/>
  <conditionalFormatting sqref="G26:G46">
    <cfRule type="expression" dxfId="48" priority="31">
      <formula>$H26="○"</formula>
    </cfRule>
    <cfRule type="expression" dxfId="47" priority="33">
      <formula>AND($B26=1,$H26&lt;&gt;"○")</formula>
    </cfRule>
    <cfRule type="expression" dxfId="46" priority="23">
      <formula>AND($B26=1,$H26="○")</formula>
    </cfRule>
  </conditionalFormatting>
  <conditionalFormatting sqref="I26:I46">
    <cfRule type="expression" dxfId="45" priority="30">
      <formula>AND($D26=1,$J26&lt;&gt;"○")</formula>
    </cfRule>
    <cfRule type="expression" dxfId="44" priority="24">
      <formula>AND($D26=1,$J26="○")</formula>
    </cfRule>
    <cfRule type="expression" dxfId="43" priority="26">
      <formula>$J26="○"</formula>
    </cfRule>
  </conditionalFormatting>
  <conditionalFormatting sqref="K26:K48">
    <cfRule type="expression" dxfId="42" priority="29">
      <formula>AND($F26=1,$L26&lt;&gt;"○")</formula>
    </cfRule>
    <cfRule type="expression" dxfId="41" priority="22">
      <formula>AND($F26=1,$L26="○")</formula>
    </cfRule>
    <cfRule type="expression" dxfId="40" priority="25">
      <formula>$L26="○"</formula>
    </cfRule>
  </conditionalFormatting>
  <conditionalFormatting sqref="S27 U27 W27 Y27 S29 S31 S33 S35 S37 S39 S41 S43 S45 U29 U31 U33 U35 U37 U39 U41 U43 U45 W29 W31 W33 W35 W37 W39 W41 W43 W45 Y29 Y31 Y33 Y35 Y37 Y39 Y41 Y43 Y45">
    <cfRule type="duplicateValues" dxfId="39" priority="314"/>
  </conditionalFormatting>
  <conditionalFormatting sqref="S27 U27 W27 Y27 Y29 W29 U29 S29 S31 U31 W31 Y31 Y33 W33 U33 S33 S35 U35 W35 Y35 Y37 W37 U37 S37 S39 U39 W39 Y39 Y41 W41 U41 S41 S43 U43 W43 Y43 Y45 W45 U45 S45 S47 U47 W47 Y47 Y49 W49 U49 S49">
    <cfRule type="duplicateValues" dxfId="38" priority="1"/>
  </conditionalFormatting>
  <conditionalFormatting sqref="S29 U29">
    <cfRule type="duplicateValues" dxfId="37" priority="73"/>
  </conditionalFormatting>
  <conditionalFormatting sqref="S31 U31 W31 Y31">
    <cfRule type="duplicateValues" dxfId="36" priority="107"/>
  </conditionalFormatting>
  <conditionalFormatting sqref="S31 U31">
    <cfRule type="duplicateValues" dxfId="35" priority="72"/>
  </conditionalFormatting>
  <conditionalFormatting sqref="S31">
    <cfRule type="duplicateValues" dxfId="34" priority="68"/>
  </conditionalFormatting>
  <conditionalFormatting sqref="S33 U33 W33 Y33">
    <cfRule type="duplicateValues" dxfId="33" priority="105"/>
  </conditionalFormatting>
  <conditionalFormatting sqref="S33 U33">
    <cfRule type="duplicateValues" dxfId="32" priority="70"/>
  </conditionalFormatting>
  <conditionalFormatting sqref="S33">
    <cfRule type="duplicateValues" dxfId="31" priority="66"/>
  </conditionalFormatting>
  <conditionalFormatting sqref="S35 U35 W35 Y35">
    <cfRule type="duplicateValues" dxfId="30" priority="103"/>
  </conditionalFormatting>
  <conditionalFormatting sqref="S35">
    <cfRule type="duplicateValues" dxfId="29" priority="56"/>
  </conditionalFormatting>
  <conditionalFormatting sqref="S37 U37 W37 Y37">
    <cfRule type="duplicateValues" dxfId="28" priority="101"/>
  </conditionalFormatting>
  <conditionalFormatting sqref="S37">
    <cfRule type="duplicateValues" dxfId="27" priority="54"/>
  </conditionalFormatting>
  <conditionalFormatting sqref="S39 U39 W39 Y39">
    <cfRule type="duplicateValues" dxfId="26" priority="99"/>
  </conditionalFormatting>
  <conditionalFormatting sqref="S39">
    <cfRule type="duplicateValues" dxfId="25" priority="52"/>
  </conditionalFormatting>
  <conditionalFormatting sqref="S41 U41 W41 Y41">
    <cfRule type="duplicateValues" dxfId="24" priority="97"/>
  </conditionalFormatting>
  <conditionalFormatting sqref="S41">
    <cfRule type="duplicateValues" dxfId="23" priority="50"/>
  </conditionalFormatting>
  <conditionalFormatting sqref="S43 U43 W43 Y43">
    <cfRule type="duplicateValues" dxfId="22" priority="95"/>
  </conditionalFormatting>
  <conditionalFormatting sqref="S43">
    <cfRule type="duplicateValues" dxfId="21" priority="48"/>
  </conditionalFormatting>
  <conditionalFormatting sqref="S45 U45 W45 Y45">
    <cfRule type="duplicateValues" dxfId="20" priority="93"/>
  </conditionalFormatting>
  <conditionalFormatting sqref="S45">
    <cfRule type="duplicateValues" dxfId="19" priority="46"/>
  </conditionalFormatting>
  <conditionalFormatting sqref="S47">
    <cfRule type="duplicateValues" dxfId="18" priority="7"/>
    <cfRule type="duplicateValues" dxfId="17" priority="6"/>
  </conditionalFormatting>
  <conditionalFormatting sqref="S49">
    <cfRule type="duplicateValues" dxfId="16" priority="3"/>
    <cfRule type="duplicateValues" dxfId="15" priority="4"/>
  </conditionalFormatting>
  <conditionalFormatting sqref="U47">
    <cfRule type="duplicateValues" dxfId="14" priority="11"/>
    <cfRule type="duplicateValues" dxfId="13" priority="10"/>
  </conditionalFormatting>
  <conditionalFormatting sqref="U49">
    <cfRule type="duplicateValues" dxfId="12" priority="9"/>
    <cfRule type="duplicateValues" dxfId="11" priority="8"/>
  </conditionalFormatting>
  <conditionalFormatting sqref="W29 Y29 S29 U29">
    <cfRule type="duplicateValues" dxfId="10" priority="77"/>
  </conditionalFormatting>
  <conditionalFormatting sqref="W47">
    <cfRule type="duplicateValues" dxfId="9" priority="17"/>
    <cfRule type="duplicateValues" dxfId="8" priority="16"/>
  </conditionalFormatting>
  <conditionalFormatting sqref="W49">
    <cfRule type="duplicateValues" dxfId="7" priority="13"/>
    <cfRule type="duplicateValues" dxfId="6" priority="12"/>
  </conditionalFormatting>
  <conditionalFormatting sqref="Y47">
    <cfRule type="duplicateValues" dxfId="5" priority="21"/>
    <cfRule type="duplicateValues" dxfId="4" priority="20"/>
  </conditionalFormatting>
  <conditionalFormatting sqref="Y49">
    <cfRule type="duplicateValues" dxfId="3" priority="19"/>
    <cfRule type="duplicateValues" dxfId="2" priority="18"/>
  </conditionalFormatting>
  <conditionalFormatting sqref="Z42 Z44 Z32 Z34 Z36 Z46 Z38">
    <cfRule type="duplicateValues" dxfId="1" priority="341"/>
  </conditionalFormatting>
  <dataValidations count="2">
    <dataValidation type="whole" allowBlank="1" showInputMessage="1" showErrorMessage="1" error="スコアを入れてください_x000a_（半角数値です）" sqref="Z31 Z47 Z33 Z45 Z43 Z41 Z39 Z37 Z35" xr:uid="{00000000-0002-0000-0000-000000000000}">
      <formula1>60</formula1>
      <formula2>150</formula2>
    </dataValidation>
    <dataValidation type="list" allowBlank="1" showInputMessage="1" showErrorMessage="1" sqref="H26:H46 L26:L48 J26:J46" xr:uid="{00000000-0002-0000-0000-000001000000}">
      <formula1>$AW$21:$AW$23</formula1>
    </dataValidation>
  </dataValidations>
  <pageMargins left="0.70866141732283472" right="0.70866141732283472" top="0.70866141732283472" bottom="0.74803149606299213" header="0.31496062992125984" footer="0.31496062992125984"/>
  <pageSetup paperSize="8" scale="51" orientation="portrait" horizontalDpi="4294967293"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55" r:id="rId4" name="Drop Down 31">
              <controlPr defaultSize="0" autoLine="0" autoPict="0">
                <anchor moveWithCells="1" sizeWithCells="1">
                  <from>
                    <xdr:col>24</xdr:col>
                    <xdr:colOff>85725</xdr:colOff>
                    <xdr:row>32</xdr:row>
                    <xdr:rowOff>38100</xdr:rowOff>
                  </from>
                  <to>
                    <xdr:col>24</xdr:col>
                    <xdr:colOff>752475</xdr:colOff>
                    <xdr:row>33</xdr:row>
                    <xdr:rowOff>0</xdr:rowOff>
                  </to>
                </anchor>
              </controlPr>
            </control>
          </mc:Choice>
        </mc:AlternateContent>
        <mc:AlternateContent xmlns:mc="http://schemas.openxmlformats.org/markup-compatibility/2006">
          <mc:Choice Requires="x14">
            <control shapeId="1059" r:id="rId5" name="Drop Down 35">
              <controlPr defaultSize="0" autoLine="0" autoPict="0">
                <anchor moveWithCells="1" sizeWithCells="1">
                  <from>
                    <xdr:col>24</xdr:col>
                    <xdr:colOff>85725</xdr:colOff>
                    <xdr:row>34</xdr:row>
                    <xdr:rowOff>38100</xdr:rowOff>
                  </from>
                  <to>
                    <xdr:col>24</xdr:col>
                    <xdr:colOff>752475</xdr:colOff>
                    <xdr:row>35</xdr:row>
                    <xdr:rowOff>0</xdr:rowOff>
                  </to>
                </anchor>
              </controlPr>
            </control>
          </mc:Choice>
        </mc:AlternateContent>
        <mc:AlternateContent xmlns:mc="http://schemas.openxmlformats.org/markup-compatibility/2006">
          <mc:Choice Requires="x14">
            <control shapeId="1063" r:id="rId6" name="Drop Down 39">
              <controlPr defaultSize="0" autoLine="0" autoPict="0">
                <anchor moveWithCells="1" sizeWithCells="1">
                  <from>
                    <xdr:col>24</xdr:col>
                    <xdr:colOff>85725</xdr:colOff>
                    <xdr:row>36</xdr:row>
                    <xdr:rowOff>38100</xdr:rowOff>
                  </from>
                  <to>
                    <xdr:col>24</xdr:col>
                    <xdr:colOff>752475</xdr:colOff>
                    <xdr:row>37</xdr:row>
                    <xdr:rowOff>0</xdr:rowOff>
                  </to>
                </anchor>
              </controlPr>
            </control>
          </mc:Choice>
        </mc:AlternateContent>
        <mc:AlternateContent xmlns:mc="http://schemas.openxmlformats.org/markup-compatibility/2006">
          <mc:Choice Requires="x14">
            <control shapeId="1067" r:id="rId7" name="Drop Down 43">
              <controlPr defaultSize="0" autoLine="0" autoPict="0">
                <anchor moveWithCells="1" sizeWithCells="1">
                  <from>
                    <xdr:col>24</xdr:col>
                    <xdr:colOff>85725</xdr:colOff>
                    <xdr:row>38</xdr:row>
                    <xdr:rowOff>38100</xdr:rowOff>
                  </from>
                  <to>
                    <xdr:col>24</xdr:col>
                    <xdr:colOff>752475</xdr:colOff>
                    <xdr:row>39</xdr:row>
                    <xdr:rowOff>0</xdr:rowOff>
                  </to>
                </anchor>
              </controlPr>
            </control>
          </mc:Choice>
        </mc:AlternateContent>
        <mc:AlternateContent xmlns:mc="http://schemas.openxmlformats.org/markup-compatibility/2006">
          <mc:Choice Requires="x14">
            <control shapeId="1071" r:id="rId8" name="Drop Down 47">
              <controlPr defaultSize="0" autoLine="0" autoPict="0">
                <anchor moveWithCells="1" sizeWithCells="1">
                  <from>
                    <xdr:col>24</xdr:col>
                    <xdr:colOff>85725</xdr:colOff>
                    <xdr:row>40</xdr:row>
                    <xdr:rowOff>47625</xdr:rowOff>
                  </from>
                  <to>
                    <xdr:col>24</xdr:col>
                    <xdr:colOff>752475</xdr:colOff>
                    <xdr:row>41</xdr:row>
                    <xdr:rowOff>0</xdr:rowOff>
                  </to>
                </anchor>
              </controlPr>
            </control>
          </mc:Choice>
        </mc:AlternateContent>
        <mc:AlternateContent xmlns:mc="http://schemas.openxmlformats.org/markup-compatibility/2006">
          <mc:Choice Requires="x14">
            <control shapeId="1075" r:id="rId9" name="Drop Down 51">
              <controlPr defaultSize="0" autoLine="0" autoPict="0">
                <anchor moveWithCells="1" sizeWithCells="1">
                  <from>
                    <xdr:col>24</xdr:col>
                    <xdr:colOff>85725</xdr:colOff>
                    <xdr:row>42</xdr:row>
                    <xdr:rowOff>38100</xdr:rowOff>
                  </from>
                  <to>
                    <xdr:col>24</xdr:col>
                    <xdr:colOff>752475</xdr:colOff>
                    <xdr:row>43</xdr:row>
                    <xdr:rowOff>0</xdr:rowOff>
                  </to>
                </anchor>
              </controlPr>
            </control>
          </mc:Choice>
        </mc:AlternateContent>
        <mc:AlternateContent xmlns:mc="http://schemas.openxmlformats.org/markup-compatibility/2006">
          <mc:Choice Requires="x14">
            <control shapeId="1079" r:id="rId10" name="Drop Down 55">
              <controlPr defaultSize="0" autoLine="0" autoPict="0">
                <anchor moveWithCells="1" sizeWithCells="1">
                  <from>
                    <xdr:col>24</xdr:col>
                    <xdr:colOff>85725</xdr:colOff>
                    <xdr:row>44</xdr:row>
                    <xdr:rowOff>47625</xdr:rowOff>
                  </from>
                  <to>
                    <xdr:col>24</xdr:col>
                    <xdr:colOff>752475</xdr:colOff>
                    <xdr:row>45</xdr:row>
                    <xdr:rowOff>0</xdr:rowOff>
                  </to>
                </anchor>
              </controlPr>
            </control>
          </mc:Choice>
        </mc:AlternateContent>
        <mc:AlternateContent xmlns:mc="http://schemas.openxmlformats.org/markup-compatibility/2006">
          <mc:Choice Requires="x14">
            <control shapeId="1443" r:id="rId11" name="Drop Down 419">
              <controlPr defaultSize="0" autoLine="0" autoPict="0">
                <anchor moveWithCells="1" sizeWithCells="1">
                  <from>
                    <xdr:col>24</xdr:col>
                    <xdr:colOff>85725</xdr:colOff>
                    <xdr:row>26</xdr:row>
                    <xdr:rowOff>47625</xdr:rowOff>
                  </from>
                  <to>
                    <xdr:col>24</xdr:col>
                    <xdr:colOff>752475</xdr:colOff>
                    <xdr:row>27</xdr:row>
                    <xdr:rowOff>0</xdr:rowOff>
                  </to>
                </anchor>
              </controlPr>
            </control>
          </mc:Choice>
        </mc:AlternateContent>
        <mc:AlternateContent xmlns:mc="http://schemas.openxmlformats.org/markup-compatibility/2006">
          <mc:Choice Requires="x14">
            <control shapeId="1447" r:id="rId12" name="Drop Down 423">
              <controlPr defaultSize="0" autoLine="0" autoPict="0">
                <anchor moveWithCells="1" sizeWithCells="1">
                  <from>
                    <xdr:col>24</xdr:col>
                    <xdr:colOff>85725</xdr:colOff>
                    <xdr:row>28</xdr:row>
                    <xdr:rowOff>38100</xdr:rowOff>
                  </from>
                  <to>
                    <xdr:col>24</xdr:col>
                    <xdr:colOff>752475</xdr:colOff>
                    <xdr:row>29</xdr:row>
                    <xdr:rowOff>0</xdr:rowOff>
                  </to>
                </anchor>
              </controlPr>
            </control>
          </mc:Choice>
        </mc:AlternateContent>
        <mc:AlternateContent xmlns:mc="http://schemas.openxmlformats.org/markup-compatibility/2006">
          <mc:Choice Requires="x14">
            <control shapeId="1451" r:id="rId13" name="Drop Down 427">
              <controlPr defaultSize="0" autoLine="0" autoPict="0">
                <anchor moveWithCells="1" sizeWithCells="1">
                  <from>
                    <xdr:col>24</xdr:col>
                    <xdr:colOff>85725</xdr:colOff>
                    <xdr:row>30</xdr:row>
                    <xdr:rowOff>47625</xdr:rowOff>
                  </from>
                  <to>
                    <xdr:col>24</xdr:col>
                    <xdr:colOff>752475</xdr:colOff>
                    <xdr:row>31</xdr:row>
                    <xdr:rowOff>0</xdr:rowOff>
                  </to>
                </anchor>
              </controlPr>
            </control>
          </mc:Choice>
        </mc:AlternateContent>
        <mc:AlternateContent xmlns:mc="http://schemas.openxmlformats.org/markup-compatibility/2006">
          <mc:Choice Requires="x14">
            <control shapeId="1052" r:id="rId14" name="Drop Down 28">
              <controlPr defaultSize="0" autoLine="0" autoPict="0">
                <anchor moveWithCells="1" sizeWithCells="1">
                  <from>
                    <xdr:col>18</xdr:col>
                    <xdr:colOff>76200</xdr:colOff>
                    <xdr:row>32</xdr:row>
                    <xdr:rowOff>38100</xdr:rowOff>
                  </from>
                  <to>
                    <xdr:col>18</xdr:col>
                    <xdr:colOff>752475</xdr:colOff>
                    <xdr:row>33</xdr:row>
                    <xdr:rowOff>0</xdr:rowOff>
                  </to>
                </anchor>
              </controlPr>
            </control>
          </mc:Choice>
        </mc:AlternateContent>
        <mc:AlternateContent xmlns:mc="http://schemas.openxmlformats.org/markup-compatibility/2006">
          <mc:Choice Requires="x14">
            <control shapeId="1056" r:id="rId15" name="Drop Down 32">
              <controlPr defaultSize="0" autoLine="0" autoPict="0">
                <anchor moveWithCells="1" sizeWithCells="1">
                  <from>
                    <xdr:col>18</xdr:col>
                    <xdr:colOff>76200</xdr:colOff>
                    <xdr:row>34</xdr:row>
                    <xdr:rowOff>38100</xdr:rowOff>
                  </from>
                  <to>
                    <xdr:col>18</xdr:col>
                    <xdr:colOff>752475</xdr:colOff>
                    <xdr:row>35</xdr:row>
                    <xdr:rowOff>0</xdr:rowOff>
                  </to>
                </anchor>
              </controlPr>
            </control>
          </mc:Choice>
        </mc:AlternateContent>
        <mc:AlternateContent xmlns:mc="http://schemas.openxmlformats.org/markup-compatibility/2006">
          <mc:Choice Requires="x14">
            <control shapeId="1060" r:id="rId16" name="Drop Down 36">
              <controlPr defaultSize="0" autoLine="0" autoPict="0">
                <anchor moveWithCells="1" sizeWithCells="1">
                  <from>
                    <xdr:col>18</xdr:col>
                    <xdr:colOff>76200</xdr:colOff>
                    <xdr:row>36</xdr:row>
                    <xdr:rowOff>38100</xdr:rowOff>
                  </from>
                  <to>
                    <xdr:col>18</xdr:col>
                    <xdr:colOff>752475</xdr:colOff>
                    <xdr:row>37</xdr:row>
                    <xdr:rowOff>0</xdr:rowOff>
                  </to>
                </anchor>
              </controlPr>
            </control>
          </mc:Choice>
        </mc:AlternateContent>
        <mc:AlternateContent xmlns:mc="http://schemas.openxmlformats.org/markup-compatibility/2006">
          <mc:Choice Requires="x14">
            <control shapeId="1064" r:id="rId17" name="Drop Down 40">
              <controlPr defaultSize="0" autoLine="0" autoPict="0">
                <anchor moveWithCells="1" sizeWithCells="1">
                  <from>
                    <xdr:col>18</xdr:col>
                    <xdr:colOff>76200</xdr:colOff>
                    <xdr:row>38</xdr:row>
                    <xdr:rowOff>38100</xdr:rowOff>
                  </from>
                  <to>
                    <xdr:col>18</xdr:col>
                    <xdr:colOff>752475</xdr:colOff>
                    <xdr:row>39</xdr:row>
                    <xdr:rowOff>0</xdr:rowOff>
                  </to>
                </anchor>
              </controlPr>
            </control>
          </mc:Choice>
        </mc:AlternateContent>
        <mc:AlternateContent xmlns:mc="http://schemas.openxmlformats.org/markup-compatibility/2006">
          <mc:Choice Requires="x14">
            <control shapeId="1068" r:id="rId18" name="Drop Down 44">
              <controlPr defaultSize="0" autoLine="0" autoPict="0">
                <anchor moveWithCells="1" sizeWithCells="1">
                  <from>
                    <xdr:col>18</xdr:col>
                    <xdr:colOff>76200</xdr:colOff>
                    <xdr:row>40</xdr:row>
                    <xdr:rowOff>47625</xdr:rowOff>
                  </from>
                  <to>
                    <xdr:col>18</xdr:col>
                    <xdr:colOff>752475</xdr:colOff>
                    <xdr:row>41</xdr:row>
                    <xdr:rowOff>0</xdr:rowOff>
                  </to>
                </anchor>
              </controlPr>
            </control>
          </mc:Choice>
        </mc:AlternateContent>
        <mc:AlternateContent xmlns:mc="http://schemas.openxmlformats.org/markup-compatibility/2006">
          <mc:Choice Requires="x14">
            <control shapeId="1072" r:id="rId19" name="Drop Down 48">
              <controlPr defaultSize="0" autoLine="0" autoPict="0">
                <anchor moveWithCells="1" sizeWithCells="1">
                  <from>
                    <xdr:col>18</xdr:col>
                    <xdr:colOff>76200</xdr:colOff>
                    <xdr:row>42</xdr:row>
                    <xdr:rowOff>38100</xdr:rowOff>
                  </from>
                  <to>
                    <xdr:col>18</xdr:col>
                    <xdr:colOff>752475</xdr:colOff>
                    <xdr:row>43</xdr:row>
                    <xdr:rowOff>0</xdr:rowOff>
                  </to>
                </anchor>
              </controlPr>
            </control>
          </mc:Choice>
        </mc:AlternateContent>
        <mc:AlternateContent xmlns:mc="http://schemas.openxmlformats.org/markup-compatibility/2006">
          <mc:Choice Requires="x14">
            <control shapeId="1076" r:id="rId20" name="Drop Down 52">
              <controlPr defaultSize="0" autoLine="0" autoPict="0">
                <anchor moveWithCells="1" sizeWithCells="1">
                  <from>
                    <xdr:col>18</xdr:col>
                    <xdr:colOff>76200</xdr:colOff>
                    <xdr:row>44</xdr:row>
                    <xdr:rowOff>47625</xdr:rowOff>
                  </from>
                  <to>
                    <xdr:col>18</xdr:col>
                    <xdr:colOff>752475</xdr:colOff>
                    <xdr:row>45</xdr:row>
                    <xdr:rowOff>0</xdr:rowOff>
                  </to>
                </anchor>
              </controlPr>
            </control>
          </mc:Choice>
        </mc:AlternateContent>
        <mc:AlternateContent xmlns:mc="http://schemas.openxmlformats.org/markup-compatibility/2006">
          <mc:Choice Requires="x14">
            <control shapeId="1444" r:id="rId21" name="Drop Down 420">
              <controlPr defaultSize="0" autoLine="0" autoPict="0">
                <anchor moveWithCells="1" sizeWithCells="1">
                  <from>
                    <xdr:col>18</xdr:col>
                    <xdr:colOff>76200</xdr:colOff>
                    <xdr:row>28</xdr:row>
                    <xdr:rowOff>38100</xdr:rowOff>
                  </from>
                  <to>
                    <xdr:col>18</xdr:col>
                    <xdr:colOff>752475</xdr:colOff>
                    <xdr:row>29</xdr:row>
                    <xdr:rowOff>0</xdr:rowOff>
                  </to>
                </anchor>
              </controlPr>
            </control>
          </mc:Choice>
        </mc:AlternateContent>
        <mc:AlternateContent xmlns:mc="http://schemas.openxmlformats.org/markup-compatibility/2006">
          <mc:Choice Requires="x14">
            <control shapeId="1448" r:id="rId22" name="Drop Down 424">
              <controlPr defaultSize="0" autoLine="0" autoPict="0">
                <anchor moveWithCells="1" sizeWithCells="1">
                  <from>
                    <xdr:col>18</xdr:col>
                    <xdr:colOff>76200</xdr:colOff>
                    <xdr:row>30</xdr:row>
                    <xdr:rowOff>47625</xdr:rowOff>
                  </from>
                  <to>
                    <xdr:col>18</xdr:col>
                    <xdr:colOff>752475</xdr:colOff>
                    <xdr:row>31</xdr:row>
                    <xdr:rowOff>0</xdr:rowOff>
                  </to>
                </anchor>
              </controlPr>
            </control>
          </mc:Choice>
        </mc:AlternateContent>
        <mc:AlternateContent xmlns:mc="http://schemas.openxmlformats.org/markup-compatibility/2006">
          <mc:Choice Requires="x14">
            <control shapeId="1472" r:id="rId23" name="Drop Down 448">
              <controlPr locked="0" defaultSize="0" print="0" autoLine="0" autoPict="0">
                <anchor moveWithCells="1" sizeWithCells="1">
                  <from>
                    <xdr:col>18</xdr:col>
                    <xdr:colOff>76200</xdr:colOff>
                    <xdr:row>26</xdr:row>
                    <xdr:rowOff>47625</xdr:rowOff>
                  </from>
                  <to>
                    <xdr:col>18</xdr:col>
                    <xdr:colOff>752475</xdr:colOff>
                    <xdr:row>27</xdr:row>
                    <xdr:rowOff>0</xdr:rowOff>
                  </to>
                </anchor>
              </controlPr>
            </control>
          </mc:Choice>
        </mc:AlternateContent>
        <mc:AlternateContent xmlns:mc="http://schemas.openxmlformats.org/markup-compatibility/2006">
          <mc:Choice Requires="x14">
            <control shapeId="1053" r:id="rId24" name="Drop Down 29">
              <controlPr defaultSize="0" autoLine="0" autoPict="0">
                <anchor moveWithCells="1" sizeWithCells="1">
                  <from>
                    <xdr:col>20</xdr:col>
                    <xdr:colOff>76200</xdr:colOff>
                    <xdr:row>32</xdr:row>
                    <xdr:rowOff>38100</xdr:rowOff>
                  </from>
                  <to>
                    <xdr:col>20</xdr:col>
                    <xdr:colOff>752475</xdr:colOff>
                    <xdr:row>33</xdr:row>
                    <xdr:rowOff>0</xdr:rowOff>
                  </to>
                </anchor>
              </controlPr>
            </control>
          </mc:Choice>
        </mc:AlternateContent>
        <mc:AlternateContent xmlns:mc="http://schemas.openxmlformats.org/markup-compatibility/2006">
          <mc:Choice Requires="x14">
            <control shapeId="1057" r:id="rId25" name="Drop Down 33">
              <controlPr defaultSize="0" autoLine="0" autoPict="0">
                <anchor moveWithCells="1" sizeWithCells="1">
                  <from>
                    <xdr:col>20</xdr:col>
                    <xdr:colOff>76200</xdr:colOff>
                    <xdr:row>34</xdr:row>
                    <xdr:rowOff>38100</xdr:rowOff>
                  </from>
                  <to>
                    <xdr:col>20</xdr:col>
                    <xdr:colOff>752475</xdr:colOff>
                    <xdr:row>35</xdr:row>
                    <xdr:rowOff>0</xdr:rowOff>
                  </to>
                </anchor>
              </controlPr>
            </control>
          </mc:Choice>
        </mc:AlternateContent>
        <mc:AlternateContent xmlns:mc="http://schemas.openxmlformats.org/markup-compatibility/2006">
          <mc:Choice Requires="x14">
            <control shapeId="1061" r:id="rId26" name="Drop Down 37">
              <controlPr defaultSize="0" autoLine="0" autoPict="0">
                <anchor moveWithCells="1" sizeWithCells="1">
                  <from>
                    <xdr:col>20</xdr:col>
                    <xdr:colOff>76200</xdr:colOff>
                    <xdr:row>36</xdr:row>
                    <xdr:rowOff>38100</xdr:rowOff>
                  </from>
                  <to>
                    <xdr:col>20</xdr:col>
                    <xdr:colOff>752475</xdr:colOff>
                    <xdr:row>37</xdr:row>
                    <xdr:rowOff>0</xdr:rowOff>
                  </to>
                </anchor>
              </controlPr>
            </control>
          </mc:Choice>
        </mc:AlternateContent>
        <mc:AlternateContent xmlns:mc="http://schemas.openxmlformats.org/markup-compatibility/2006">
          <mc:Choice Requires="x14">
            <control shapeId="1065" r:id="rId27" name="Drop Down 41">
              <controlPr defaultSize="0" autoLine="0" autoPict="0">
                <anchor moveWithCells="1" sizeWithCells="1">
                  <from>
                    <xdr:col>20</xdr:col>
                    <xdr:colOff>76200</xdr:colOff>
                    <xdr:row>38</xdr:row>
                    <xdr:rowOff>38100</xdr:rowOff>
                  </from>
                  <to>
                    <xdr:col>20</xdr:col>
                    <xdr:colOff>752475</xdr:colOff>
                    <xdr:row>39</xdr:row>
                    <xdr:rowOff>0</xdr:rowOff>
                  </to>
                </anchor>
              </controlPr>
            </control>
          </mc:Choice>
        </mc:AlternateContent>
        <mc:AlternateContent xmlns:mc="http://schemas.openxmlformats.org/markup-compatibility/2006">
          <mc:Choice Requires="x14">
            <control shapeId="1069" r:id="rId28" name="Drop Down 45">
              <controlPr defaultSize="0" autoLine="0" autoPict="0">
                <anchor moveWithCells="1" sizeWithCells="1">
                  <from>
                    <xdr:col>20</xdr:col>
                    <xdr:colOff>76200</xdr:colOff>
                    <xdr:row>40</xdr:row>
                    <xdr:rowOff>47625</xdr:rowOff>
                  </from>
                  <to>
                    <xdr:col>20</xdr:col>
                    <xdr:colOff>752475</xdr:colOff>
                    <xdr:row>41</xdr:row>
                    <xdr:rowOff>0</xdr:rowOff>
                  </to>
                </anchor>
              </controlPr>
            </control>
          </mc:Choice>
        </mc:AlternateContent>
        <mc:AlternateContent xmlns:mc="http://schemas.openxmlformats.org/markup-compatibility/2006">
          <mc:Choice Requires="x14">
            <control shapeId="1073" r:id="rId29" name="Drop Down 49">
              <controlPr defaultSize="0" autoLine="0" autoPict="0">
                <anchor moveWithCells="1" sizeWithCells="1">
                  <from>
                    <xdr:col>20</xdr:col>
                    <xdr:colOff>76200</xdr:colOff>
                    <xdr:row>42</xdr:row>
                    <xdr:rowOff>38100</xdr:rowOff>
                  </from>
                  <to>
                    <xdr:col>20</xdr:col>
                    <xdr:colOff>752475</xdr:colOff>
                    <xdr:row>43</xdr:row>
                    <xdr:rowOff>0</xdr:rowOff>
                  </to>
                </anchor>
              </controlPr>
            </control>
          </mc:Choice>
        </mc:AlternateContent>
        <mc:AlternateContent xmlns:mc="http://schemas.openxmlformats.org/markup-compatibility/2006">
          <mc:Choice Requires="x14">
            <control shapeId="1077" r:id="rId30" name="Drop Down 53">
              <controlPr defaultSize="0" autoLine="0" autoPict="0">
                <anchor moveWithCells="1" sizeWithCells="1">
                  <from>
                    <xdr:col>20</xdr:col>
                    <xdr:colOff>76200</xdr:colOff>
                    <xdr:row>44</xdr:row>
                    <xdr:rowOff>47625</xdr:rowOff>
                  </from>
                  <to>
                    <xdr:col>20</xdr:col>
                    <xdr:colOff>752475</xdr:colOff>
                    <xdr:row>45</xdr:row>
                    <xdr:rowOff>0</xdr:rowOff>
                  </to>
                </anchor>
              </controlPr>
            </control>
          </mc:Choice>
        </mc:AlternateContent>
        <mc:AlternateContent xmlns:mc="http://schemas.openxmlformats.org/markup-compatibility/2006">
          <mc:Choice Requires="x14">
            <control shapeId="1445" r:id="rId31" name="Drop Down 421">
              <controlPr defaultSize="0" autoLine="0" autoPict="0">
                <anchor moveWithCells="1" sizeWithCells="1">
                  <from>
                    <xdr:col>20</xdr:col>
                    <xdr:colOff>76200</xdr:colOff>
                    <xdr:row>28</xdr:row>
                    <xdr:rowOff>38100</xdr:rowOff>
                  </from>
                  <to>
                    <xdr:col>20</xdr:col>
                    <xdr:colOff>752475</xdr:colOff>
                    <xdr:row>29</xdr:row>
                    <xdr:rowOff>0</xdr:rowOff>
                  </to>
                </anchor>
              </controlPr>
            </control>
          </mc:Choice>
        </mc:AlternateContent>
        <mc:AlternateContent xmlns:mc="http://schemas.openxmlformats.org/markup-compatibility/2006">
          <mc:Choice Requires="x14">
            <control shapeId="1449" r:id="rId32" name="Drop Down 425">
              <controlPr defaultSize="0" autoLine="0" autoPict="0">
                <anchor moveWithCells="1" sizeWithCells="1">
                  <from>
                    <xdr:col>20</xdr:col>
                    <xdr:colOff>76200</xdr:colOff>
                    <xdr:row>30</xdr:row>
                    <xdr:rowOff>47625</xdr:rowOff>
                  </from>
                  <to>
                    <xdr:col>20</xdr:col>
                    <xdr:colOff>752475</xdr:colOff>
                    <xdr:row>31</xdr:row>
                    <xdr:rowOff>0</xdr:rowOff>
                  </to>
                </anchor>
              </controlPr>
            </control>
          </mc:Choice>
        </mc:AlternateContent>
        <mc:AlternateContent xmlns:mc="http://schemas.openxmlformats.org/markup-compatibility/2006">
          <mc:Choice Requires="x14">
            <control shapeId="1473" r:id="rId33" name="Drop Down 449">
              <controlPr defaultSize="0" autoLine="0" autoPict="0">
                <anchor moveWithCells="1" sizeWithCells="1">
                  <from>
                    <xdr:col>20</xdr:col>
                    <xdr:colOff>76200</xdr:colOff>
                    <xdr:row>26</xdr:row>
                    <xdr:rowOff>47625</xdr:rowOff>
                  </from>
                  <to>
                    <xdr:col>20</xdr:col>
                    <xdr:colOff>752475</xdr:colOff>
                    <xdr:row>27</xdr:row>
                    <xdr:rowOff>0</xdr:rowOff>
                  </to>
                </anchor>
              </controlPr>
            </control>
          </mc:Choice>
        </mc:AlternateContent>
        <mc:AlternateContent xmlns:mc="http://schemas.openxmlformats.org/markup-compatibility/2006">
          <mc:Choice Requires="x14">
            <control shapeId="1054" r:id="rId34" name="Drop Down 30">
              <controlPr defaultSize="0" autoLine="0" autoPict="0">
                <anchor moveWithCells="1" sizeWithCells="1">
                  <from>
                    <xdr:col>22</xdr:col>
                    <xdr:colOff>85725</xdr:colOff>
                    <xdr:row>32</xdr:row>
                    <xdr:rowOff>38100</xdr:rowOff>
                  </from>
                  <to>
                    <xdr:col>22</xdr:col>
                    <xdr:colOff>762000</xdr:colOff>
                    <xdr:row>33</xdr:row>
                    <xdr:rowOff>0</xdr:rowOff>
                  </to>
                </anchor>
              </controlPr>
            </control>
          </mc:Choice>
        </mc:AlternateContent>
        <mc:AlternateContent xmlns:mc="http://schemas.openxmlformats.org/markup-compatibility/2006">
          <mc:Choice Requires="x14">
            <control shapeId="1058" r:id="rId35" name="Drop Down 34">
              <controlPr defaultSize="0" autoLine="0" autoPict="0">
                <anchor moveWithCells="1" sizeWithCells="1">
                  <from>
                    <xdr:col>22</xdr:col>
                    <xdr:colOff>85725</xdr:colOff>
                    <xdr:row>34</xdr:row>
                    <xdr:rowOff>38100</xdr:rowOff>
                  </from>
                  <to>
                    <xdr:col>22</xdr:col>
                    <xdr:colOff>762000</xdr:colOff>
                    <xdr:row>35</xdr:row>
                    <xdr:rowOff>0</xdr:rowOff>
                  </to>
                </anchor>
              </controlPr>
            </control>
          </mc:Choice>
        </mc:AlternateContent>
        <mc:AlternateContent xmlns:mc="http://schemas.openxmlformats.org/markup-compatibility/2006">
          <mc:Choice Requires="x14">
            <control shapeId="1062" r:id="rId36" name="Drop Down 38">
              <controlPr defaultSize="0" autoLine="0" autoPict="0">
                <anchor moveWithCells="1" sizeWithCells="1">
                  <from>
                    <xdr:col>22</xdr:col>
                    <xdr:colOff>85725</xdr:colOff>
                    <xdr:row>36</xdr:row>
                    <xdr:rowOff>38100</xdr:rowOff>
                  </from>
                  <to>
                    <xdr:col>22</xdr:col>
                    <xdr:colOff>762000</xdr:colOff>
                    <xdr:row>37</xdr:row>
                    <xdr:rowOff>0</xdr:rowOff>
                  </to>
                </anchor>
              </controlPr>
            </control>
          </mc:Choice>
        </mc:AlternateContent>
        <mc:AlternateContent xmlns:mc="http://schemas.openxmlformats.org/markup-compatibility/2006">
          <mc:Choice Requires="x14">
            <control shapeId="1066" r:id="rId37" name="Drop Down 42">
              <controlPr defaultSize="0" autoLine="0" autoPict="0">
                <anchor moveWithCells="1" sizeWithCells="1">
                  <from>
                    <xdr:col>22</xdr:col>
                    <xdr:colOff>85725</xdr:colOff>
                    <xdr:row>38</xdr:row>
                    <xdr:rowOff>38100</xdr:rowOff>
                  </from>
                  <to>
                    <xdr:col>22</xdr:col>
                    <xdr:colOff>752475</xdr:colOff>
                    <xdr:row>39</xdr:row>
                    <xdr:rowOff>0</xdr:rowOff>
                  </to>
                </anchor>
              </controlPr>
            </control>
          </mc:Choice>
        </mc:AlternateContent>
        <mc:AlternateContent xmlns:mc="http://schemas.openxmlformats.org/markup-compatibility/2006">
          <mc:Choice Requires="x14">
            <control shapeId="1070" r:id="rId38" name="Drop Down 46">
              <controlPr defaultSize="0" autoLine="0" autoPict="0">
                <anchor moveWithCells="1" sizeWithCells="1">
                  <from>
                    <xdr:col>22</xdr:col>
                    <xdr:colOff>85725</xdr:colOff>
                    <xdr:row>40</xdr:row>
                    <xdr:rowOff>47625</xdr:rowOff>
                  </from>
                  <to>
                    <xdr:col>22</xdr:col>
                    <xdr:colOff>762000</xdr:colOff>
                    <xdr:row>41</xdr:row>
                    <xdr:rowOff>0</xdr:rowOff>
                  </to>
                </anchor>
              </controlPr>
            </control>
          </mc:Choice>
        </mc:AlternateContent>
        <mc:AlternateContent xmlns:mc="http://schemas.openxmlformats.org/markup-compatibility/2006">
          <mc:Choice Requires="x14">
            <control shapeId="1074" r:id="rId39" name="Drop Down 50">
              <controlPr defaultSize="0" autoLine="0" autoPict="0">
                <anchor moveWithCells="1" sizeWithCells="1">
                  <from>
                    <xdr:col>22</xdr:col>
                    <xdr:colOff>85725</xdr:colOff>
                    <xdr:row>42</xdr:row>
                    <xdr:rowOff>38100</xdr:rowOff>
                  </from>
                  <to>
                    <xdr:col>22</xdr:col>
                    <xdr:colOff>762000</xdr:colOff>
                    <xdr:row>43</xdr:row>
                    <xdr:rowOff>0</xdr:rowOff>
                  </to>
                </anchor>
              </controlPr>
            </control>
          </mc:Choice>
        </mc:AlternateContent>
        <mc:AlternateContent xmlns:mc="http://schemas.openxmlformats.org/markup-compatibility/2006">
          <mc:Choice Requires="x14">
            <control shapeId="1078" r:id="rId40" name="Drop Down 54">
              <controlPr defaultSize="0" autoLine="0" autoPict="0">
                <anchor moveWithCells="1" sizeWithCells="1">
                  <from>
                    <xdr:col>22</xdr:col>
                    <xdr:colOff>85725</xdr:colOff>
                    <xdr:row>44</xdr:row>
                    <xdr:rowOff>47625</xdr:rowOff>
                  </from>
                  <to>
                    <xdr:col>22</xdr:col>
                    <xdr:colOff>762000</xdr:colOff>
                    <xdr:row>45</xdr:row>
                    <xdr:rowOff>0</xdr:rowOff>
                  </to>
                </anchor>
              </controlPr>
            </control>
          </mc:Choice>
        </mc:AlternateContent>
        <mc:AlternateContent xmlns:mc="http://schemas.openxmlformats.org/markup-compatibility/2006">
          <mc:Choice Requires="x14">
            <control shapeId="1446" r:id="rId41" name="Drop Down 422">
              <controlPr defaultSize="0" autoLine="0" autoPict="0">
                <anchor moveWithCells="1" sizeWithCells="1">
                  <from>
                    <xdr:col>22</xdr:col>
                    <xdr:colOff>85725</xdr:colOff>
                    <xdr:row>28</xdr:row>
                    <xdr:rowOff>38100</xdr:rowOff>
                  </from>
                  <to>
                    <xdr:col>22</xdr:col>
                    <xdr:colOff>762000</xdr:colOff>
                    <xdr:row>29</xdr:row>
                    <xdr:rowOff>0</xdr:rowOff>
                  </to>
                </anchor>
              </controlPr>
            </control>
          </mc:Choice>
        </mc:AlternateContent>
        <mc:AlternateContent xmlns:mc="http://schemas.openxmlformats.org/markup-compatibility/2006">
          <mc:Choice Requires="x14">
            <control shapeId="1450" r:id="rId42" name="Drop Down 426">
              <controlPr defaultSize="0" autoLine="0" autoPict="0">
                <anchor moveWithCells="1" sizeWithCells="1">
                  <from>
                    <xdr:col>22</xdr:col>
                    <xdr:colOff>85725</xdr:colOff>
                    <xdr:row>30</xdr:row>
                    <xdr:rowOff>47625</xdr:rowOff>
                  </from>
                  <to>
                    <xdr:col>22</xdr:col>
                    <xdr:colOff>762000</xdr:colOff>
                    <xdr:row>31</xdr:row>
                    <xdr:rowOff>0</xdr:rowOff>
                  </to>
                </anchor>
              </controlPr>
            </control>
          </mc:Choice>
        </mc:AlternateContent>
        <mc:AlternateContent xmlns:mc="http://schemas.openxmlformats.org/markup-compatibility/2006">
          <mc:Choice Requires="x14">
            <control shapeId="1474" r:id="rId43" name="Drop Down 450">
              <controlPr defaultSize="0" autoLine="0" autoPict="0">
                <anchor moveWithCells="1" sizeWithCells="1">
                  <from>
                    <xdr:col>22</xdr:col>
                    <xdr:colOff>85725</xdr:colOff>
                    <xdr:row>26</xdr:row>
                    <xdr:rowOff>47625</xdr:rowOff>
                  </from>
                  <to>
                    <xdr:col>22</xdr:col>
                    <xdr:colOff>762000</xdr:colOff>
                    <xdr:row>27</xdr:row>
                    <xdr:rowOff>0</xdr:rowOff>
                  </to>
                </anchor>
              </controlPr>
            </control>
          </mc:Choice>
        </mc:AlternateContent>
        <mc:AlternateContent xmlns:mc="http://schemas.openxmlformats.org/markup-compatibility/2006">
          <mc:Choice Requires="x14">
            <control shapeId="1477" r:id="rId44" name="Drop Down 453">
              <controlPr defaultSize="0" autoLine="0" autoPict="0">
                <anchor moveWithCells="1">
                  <from>
                    <xdr:col>18</xdr:col>
                    <xdr:colOff>733425</xdr:colOff>
                    <xdr:row>12</xdr:row>
                    <xdr:rowOff>161925</xdr:rowOff>
                  </from>
                  <to>
                    <xdr:col>25</xdr:col>
                    <xdr:colOff>123825</xdr:colOff>
                    <xdr:row>13</xdr:row>
                    <xdr:rowOff>190500</xdr:rowOff>
                  </to>
                </anchor>
              </controlPr>
            </control>
          </mc:Choice>
        </mc:AlternateContent>
        <mc:AlternateContent xmlns:mc="http://schemas.openxmlformats.org/markup-compatibility/2006">
          <mc:Choice Requires="x14">
            <control shapeId="1488" r:id="rId45" name="Drop Down 464">
              <controlPr defaultSize="0" autoLine="0" autoPict="0">
                <anchor moveWithCells="1">
                  <from>
                    <xdr:col>16</xdr:col>
                    <xdr:colOff>171450</xdr:colOff>
                    <xdr:row>22</xdr:row>
                    <xdr:rowOff>9525</xdr:rowOff>
                  </from>
                  <to>
                    <xdr:col>17</xdr:col>
                    <xdr:colOff>276225</xdr:colOff>
                    <xdr:row>22</xdr:row>
                    <xdr:rowOff>209550</xdr:rowOff>
                  </to>
                </anchor>
              </controlPr>
            </control>
          </mc:Choice>
        </mc:AlternateContent>
        <mc:AlternateContent xmlns:mc="http://schemas.openxmlformats.org/markup-compatibility/2006">
          <mc:Choice Requires="x14">
            <control shapeId="1546" r:id="rId46" name="Drop Down 522">
              <controlPr defaultSize="0" autoLine="0" autoPict="0">
                <anchor moveWithCells="1">
                  <from>
                    <xdr:col>25</xdr:col>
                    <xdr:colOff>180975</xdr:colOff>
                    <xdr:row>8</xdr:row>
                    <xdr:rowOff>171450</xdr:rowOff>
                  </from>
                  <to>
                    <xdr:col>27</xdr:col>
                    <xdr:colOff>38100</xdr:colOff>
                    <xdr:row>10</xdr:row>
                    <xdr:rowOff>28575</xdr:rowOff>
                  </to>
                </anchor>
              </controlPr>
            </control>
          </mc:Choice>
        </mc:AlternateContent>
        <mc:AlternateContent xmlns:mc="http://schemas.openxmlformats.org/markup-compatibility/2006">
          <mc:Choice Requires="x14">
            <control shapeId="1553" r:id="rId47" name="Drop Down 529">
              <controlPr defaultSize="0" autoLine="0" autoPict="0">
                <anchor moveWithCells="1">
                  <from>
                    <xdr:col>26</xdr:col>
                    <xdr:colOff>9525</xdr:colOff>
                    <xdr:row>10</xdr:row>
                    <xdr:rowOff>123825</xdr:rowOff>
                  </from>
                  <to>
                    <xdr:col>26</xdr:col>
                    <xdr:colOff>685800</xdr:colOff>
                    <xdr:row>11</xdr:row>
                    <xdr:rowOff>104775</xdr:rowOff>
                  </to>
                </anchor>
              </controlPr>
            </control>
          </mc:Choice>
        </mc:AlternateContent>
        <mc:AlternateContent xmlns:mc="http://schemas.openxmlformats.org/markup-compatibility/2006">
          <mc:Choice Requires="x14">
            <control shapeId="1554" r:id="rId48" name="Drop Down 530">
              <controlPr defaultSize="0" autoLine="0" autoPict="0">
                <anchor moveWithCells="1" sizeWithCells="1">
                  <from>
                    <xdr:col>18</xdr:col>
                    <xdr:colOff>76200</xdr:colOff>
                    <xdr:row>46</xdr:row>
                    <xdr:rowOff>47625</xdr:rowOff>
                  </from>
                  <to>
                    <xdr:col>18</xdr:col>
                    <xdr:colOff>752475</xdr:colOff>
                    <xdr:row>47</xdr:row>
                    <xdr:rowOff>0</xdr:rowOff>
                  </to>
                </anchor>
              </controlPr>
            </control>
          </mc:Choice>
        </mc:AlternateContent>
        <mc:AlternateContent xmlns:mc="http://schemas.openxmlformats.org/markup-compatibility/2006">
          <mc:Choice Requires="x14">
            <control shapeId="1555" r:id="rId49" name="Drop Down 531">
              <controlPr defaultSize="0" autoLine="0" autoPict="0">
                <anchor moveWithCells="1" sizeWithCells="1">
                  <from>
                    <xdr:col>20</xdr:col>
                    <xdr:colOff>76200</xdr:colOff>
                    <xdr:row>46</xdr:row>
                    <xdr:rowOff>47625</xdr:rowOff>
                  </from>
                  <to>
                    <xdr:col>20</xdr:col>
                    <xdr:colOff>752475</xdr:colOff>
                    <xdr:row>47</xdr:row>
                    <xdr:rowOff>0</xdr:rowOff>
                  </to>
                </anchor>
              </controlPr>
            </control>
          </mc:Choice>
        </mc:AlternateContent>
        <mc:AlternateContent xmlns:mc="http://schemas.openxmlformats.org/markup-compatibility/2006">
          <mc:Choice Requires="x14">
            <control shapeId="1556" r:id="rId50" name="Drop Down 532">
              <controlPr defaultSize="0" autoLine="0" autoPict="0">
                <anchor moveWithCells="1" sizeWithCells="1">
                  <from>
                    <xdr:col>22</xdr:col>
                    <xdr:colOff>85725</xdr:colOff>
                    <xdr:row>46</xdr:row>
                    <xdr:rowOff>47625</xdr:rowOff>
                  </from>
                  <to>
                    <xdr:col>22</xdr:col>
                    <xdr:colOff>762000</xdr:colOff>
                    <xdr:row>47</xdr:row>
                    <xdr:rowOff>0</xdr:rowOff>
                  </to>
                </anchor>
              </controlPr>
            </control>
          </mc:Choice>
        </mc:AlternateContent>
        <mc:AlternateContent xmlns:mc="http://schemas.openxmlformats.org/markup-compatibility/2006">
          <mc:Choice Requires="x14">
            <control shapeId="1557" r:id="rId51" name="Drop Down 533">
              <controlPr defaultSize="0" autoLine="0" autoPict="0">
                <anchor moveWithCells="1" sizeWithCells="1">
                  <from>
                    <xdr:col>24</xdr:col>
                    <xdr:colOff>85725</xdr:colOff>
                    <xdr:row>46</xdr:row>
                    <xdr:rowOff>47625</xdr:rowOff>
                  </from>
                  <to>
                    <xdr:col>24</xdr:col>
                    <xdr:colOff>762000</xdr:colOff>
                    <xdr:row>47</xdr:row>
                    <xdr:rowOff>0</xdr:rowOff>
                  </to>
                </anchor>
              </controlPr>
            </control>
          </mc:Choice>
        </mc:AlternateContent>
        <mc:AlternateContent xmlns:mc="http://schemas.openxmlformats.org/markup-compatibility/2006">
          <mc:Choice Requires="x14">
            <control shapeId="1558" r:id="rId52" name="Drop Down 534">
              <controlPr defaultSize="0" autoLine="0" autoPict="0">
                <anchor moveWithCells="1" sizeWithCells="1">
                  <from>
                    <xdr:col>18</xdr:col>
                    <xdr:colOff>76200</xdr:colOff>
                    <xdr:row>48</xdr:row>
                    <xdr:rowOff>47625</xdr:rowOff>
                  </from>
                  <to>
                    <xdr:col>18</xdr:col>
                    <xdr:colOff>752475</xdr:colOff>
                    <xdr:row>49</xdr:row>
                    <xdr:rowOff>0</xdr:rowOff>
                  </to>
                </anchor>
              </controlPr>
            </control>
          </mc:Choice>
        </mc:AlternateContent>
        <mc:AlternateContent xmlns:mc="http://schemas.openxmlformats.org/markup-compatibility/2006">
          <mc:Choice Requires="x14">
            <control shapeId="1559" r:id="rId53" name="Drop Down 535">
              <controlPr defaultSize="0" autoLine="0" autoPict="0">
                <anchor moveWithCells="1" sizeWithCells="1">
                  <from>
                    <xdr:col>20</xdr:col>
                    <xdr:colOff>76200</xdr:colOff>
                    <xdr:row>48</xdr:row>
                    <xdr:rowOff>47625</xdr:rowOff>
                  </from>
                  <to>
                    <xdr:col>20</xdr:col>
                    <xdr:colOff>752475</xdr:colOff>
                    <xdr:row>49</xdr:row>
                    <xdr:rowOff>0</xdr:rowOff>
                  </to>
                </anchor>
              </controlPr>
            </control>
          </mc:Choice>
        </mc:AlternateContent>
        <mc:AlternateContent xmlns:mc="http://schemas.openxmlformats.org/markup-compatibility/2006">
          <mc:Choice Requires="x14">
            <control shapeId="1560" r:id="rId54" name="Drop Down 536">
              <controlPr defaultSize="0" autoLine="0" autoPict="0">
                <anchor moveWithCells="1" sizeWithCells="1">
                  <from>
                    <xdr:col>22</xdr:col>
                    <xdr:colOff>85725</xdr:colOff>
                    <xdr:row>48</xdr:row>
                    <xdr:rowOff>47625</xdr:rowOff>
                  </from>
                  <to>
                    <xdr:col>22</xdr:col>
                    <xdr:colOff>762000</xdr:colOff>
                    <xdr:row>49</xdr:row>
                    <xdr:rowOff>0</xdr:rowOff>
                  </to>
                </anchor>
              </controlPr>
            </control>
          </mc:Choice>
        </mc:AlternateContent>
        <mc:AlternateContent xmlns:mc="http://schemas.openxmlformats.org/markup-compatibility/2006">
          <mc:Choice Requires="x14">
            <control shapeId="1561" r:id="rId55" name="Drop Down 537">
              <controlPr defaultSize="0" autoLine="0" autoPict="0">
                <anchor moveWithCells="1" sizeWithCells="1">
                  <from>
                    <xdr:col>24</xdr:col>
                    <xdr:colOff>85725</xdr:colOff>
                    <xdr:row>48</xdr:row>
                    <xdr:rowOff>47625</xdr:rowOff>
                  </from>
                  <to>
                    <xdr:col>24</xdr:col>
                    <xdr:colOff>762000</xdr:colOff>
                    <xdr:row>49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B2:N56"/>
  <sheetViews>
    <sheetView workbookViewId="0">
      <selection activeCell="L26" sqref="L26"/>
    </sheetView>
  </sheetViews>
  <sheetFormatPr defaultRowHeight="13.5" x14ac:dyDescent="0.15"/>
  <cols>
    <col min="1" max="16384" width="9" style="149"/>
  </cols>
  <sheetData>
    <row r="2" spans="2:14" ht="14.25" x14ac:dyDescent="0.15">
      <c r="B2" s="560" t="s">
        <v>557</v>
      </c>
    </row>
    <row r="3" spans="2:14" ht="14.25" x14ac:dyDescent="0.15">
      <c r="B3" s="560" t="s">
        <v>558</v>
      </c>
      <c r="C3" s="560"/>
    </row>
    <row r="4" spans="2:14" ht="14.25" x14ac:dyDescent="0.15">
      <c r="B4" s="560" t="s">
        <v>559</v>
      </c>
      <c r="C4" s="560"/>
      <c r="D4" s="149" t="s">
        <v>595</v>
      </c>
    </row>
    <row r="5" spans="2:14" ht="14.25" x14ac:dyDescent="0.15">
      <c r="C5" s="560"/>
    </row>
    <row r="7" spans="2:14" x14ac:dyDescent="0.15">
      <c r="B7" s="558" t="s">
        <v>568</v>
      </c>
    </row>
    <row r="8" spans="2:14" x14ac:dyDescent="0.15">
      <c r="C8" s="557" t="s">
        <v>578</v>
      </c>
    </row>
    <row r="9" spans="2:14" x14ac:dyDescent="0.15">
      <c r="C9" s="149" t="s">
        <v>575</v>
      </c>
    </row>
    <row r="11" spans="2:14" x14ac:dyDescent="0.15">
      <c r="B11" s="149" t="s">
        <v>569</v>
      </c>
      <c r="N11" s="558" t="s">
        <v>566</v>
      </c>
    </row>
    <row r="12" spans="2:14" x14ac:dyDescent="0.15">
      <c r="C12" s="149" t="s">
        <v>571</v>
      </c>
    </row>
    <row r="13" spans="2:14" x14ac:dyDescent="0.15">
      <c r="C13" s="149" t="s">
        <v>572</v>
      </c>
    </row>
    <row r="15" spans="2:14" x14ac:dyDescent="0.15">
      <c r="D15" s="558" t="s">
        <v>570</v>
      </c>
    </row>
    <row r="18" spans="3:7" x14ac:dyDescent="0.15">
      <c r="C18" s="149" t="s">
        <v>560</v>
      </c>
    </row>
    <row r="19" spans="3:7" x14ac:dyDescent="0.15">
      <c r="C19" s="149" t="s">
        <v>561</v>
      </c>
    </row>
    <row r="20" spans="3:7" x14ac:dyDescent="0.15">
      <c r="C20" s="149" t="s">
        <v>562</v>
      </c>
    </row>
    <row r="21" spans="3:7" x14ac:dyDescent="0.15">
      <c r="C21" s="149" t="s">
        <v>563</v>
      </c>
    </row>
    <row r="22" spans="3:7" x14ac:dyDescent="0.15">
      <c r="C22" s="149" t="s">
        <v>564</v>
      </c>
      <c r="G22" s="558" t="s">
        <v>586</v>
      </c>
    </row>
    <row r="41" spans="3:14" x14ac:dyDescent="0.15">
      <c r="N41" s="149" t="s">
        <v>573</v>
      </c>
    </row>
    <row r="42" spans="3:14" x14ac:dyDescent="0.15">
      <c r="N42" s="149" t="s">
        <v>574</v>
      </c>
    </row>
    <row r="46" spans="3:14" x14ac:dyDescent="0.15">
      <c r="C46" s="149" t="s">
        <v>576</v>
      </c>
    </row>
    <row r="47" spans="3:14" x14ac:dyDescent="0.15">
      <c r="C47" s="149" t="s">
        <v>577</v>
      </c>
    </row>
    <row r="48" spans="3:14" x14ac:dyDescent="0.15">
      <c r="C48" s="149" t="s">
        <v>565</v>
      </c>
    </row>
    <row r="50" spans="2:9" x14ac:dyDescent="0.15">
      <c r="B50" s="558" t="s">
        <v>594</v>
      </c>
    </row>
    <row r="51" spans="2:9" x14ac:dyDescent="0.15">
      <c r="C51" s="149" t="s">
        <v>587</v>
      </c>
      <c r="I51" s="558" t="s">
        <v>593</v>
      </c>
    </row>
    <row r="52" spans="2:9" x14ac:dyDescent="0.15">
      <c r="C52" s="149" t="s">
        <v>588</v>
      </c>
    </row>
    <row r="53" spans="2:9" x14ac:dyDescent="0.15">
      <c r="C53" s="149" t="s">
        <v>589</v>
      </c>
    </row>
    <row r="54" spans="2:9" x14ac:dyDescent="0.15">
      <c r="C54" s="149" t="s">
        <v>590</v>
      </c>
    </row>
    <row r="55" spans="2:9" x14ac:dyDescent="0.15">
      <c r="C55" s="149" t="s">
        <v>591</v>
      </c>
    </row>
    <row r="56" spans="2:9" x14ac:dyDescent="0.15">
      <c r="C56" s="149" t="s">
        <v>592</v>
      </c>
    </row>
  </sheetData>
  <phoneticPr fontId="1"/>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C1:N37"/>
  <sheetViews>
    <sheetView workbookViewId="0">
      <selection activeCell="I21" sqref="I21"/>
    </sheetView>
  </sheetViews>
  <sheetFormatPr defaultRowHeight="13.5" x14ac:dyDescent="0.15"/>
  <cols>
    <col min="3" max="3" width="12.75" customWidth="1"/>
    <col min="4" max="4" width="15.125" customWidth="1"/>
    <col min="5" max="5" width="83.75" customWidth="1"/>
    <col min="6" max="7" width="9" hidden="1" customWidth="1"/>
    <col min="10" max="10" width="4.25" customWidth="1"/>
    <col min="12" max="12" width="1.75" customWidth="1"/>
    <col min="13" max="13" width="9.625" customWidth="1"/>
    <col min="14" max="14" width="6.375" customWidth="1"/>
  </cols>
  <sheetData>
    <row r="1" spans="3:14" ht="22.5" customHeight="1" x14ac:dyDescent="0.15"/>
    <row r="4" spans="3:14" ht="14.25" x14ac:dyDescent="0.15">
      <c r="C4" s="493" t="s">
        <v>367</v>
      </c>
      <c r="K4" s="108" t="s">
        <v>368</v>
      </c>
      <c r="N4" s="108" t="s">
        <v>369</v>
      </c>
    </row>
    <row r="5" spans="3:14" x14ac:dyDescent="0.15">
      <c r="D5" t="s">
        <v>370</v>
      </c>
      <c r="J5">
        <v>1</v>
      </c>
      <c r="K5" s="233" t="s">
        <v>371</v>
      </c>
      <c r="M5" s="494" t="s">
        <v>372</v>
      </c>
      <c r="N5" s="233">
        <v>5</v>
      </c>
    </row>
    <row r="6" spans="3:14" x14ac:dyDescent="0.15">
      <c r="D6" t="s">
        <v>373</v>
      </c>
      <c r="J6">
        <v>2</v>
      </c>
      <c r="K6" s="233" t="s">
        <v>374</v>
      </c>
      <c r="M6" s="494" t="s">
        <v>375</v>
      </c>
      <c r="N6" s="233">
        <v>3</v>
      </c>
    </row>
    <row r="7" spans="3:14" x14ac:dyDescent="0.15">
      <c r="D7" t="s">
        <v>376</v>
      </c>
      <c r="J7">
        <v>3</v>
      </c>
      <c r="K7" s="233" t="s">
        <v>377</v>
      </c>
    </row>
    <row r="8" spans="3:14" x14ac:dyDescent="0.15">
      <c r="D8" t="s">
        <v>378</v>
      </c>
      <c r="J8">
        <v>4</v>
      </c>
      <c r="K8" s="233" t="s">
        <v>379</v>
      </c>
    </row>
    <row r="9" spans="3:14" x14ac:dyDescent="0.15">
      <c r="J9">
        <v>5</v>
      </c>
      <c r="K9" s="233" t="s">
        <v>380</v>
      </c>
    </row>
    <row r="10" spans="3:14" ht="14.25" x14ac:dyDescent="0.15">
      <c r="C10" s="493" t="s">
        <v>381</v>
      </c>
    </row>
    <row r="12" spans="3:14" x14ac:dyDescent="0.15">
      <c r="D12" t="s">
        <v>382</v>
      </c>
    </row>
    <row r="13" spans="3:14" x14ac:dyDescent="0.15">
      <c r="D13" t="s">
        <v>383</v>
      </c>
    </row>
    <row r="14" spans="3:14" x14ac:dyDescent="0.15">
      <c r="D14" t="s">
        <v>384</v>
      </c>
    </row>
    <row r="16" spans="3:14" x14ac:dyDescent="0.15">
      <c r="D16" t="s">
        <v>385</v>
      </c>
      <c r="E16" t="s">
        <v>386</v>
      </c>
    </row>
    <row r="17" spans="3:5" x14ac:dyDescent="0.15">
      <c r="D17" t="s">
        <v>387</v>
      </c>
      <c r="E17" t="s">
        <v>388</v>
      </c>
    </row>
    <row r="18" spans="3:5" x14ac:dyDescent="0.15">
      <c r="E18" t="s">
        <v>389</v>
      </c>
    </row>
    <row r="19" spans="3:5" x14ac:dyDescent="0.15">
      <c r="E19" t="s">
        <v>390</v>
      </c>
    </row>
    <row r="20" spans="3:5" x14ac:dyDescent="0.15">
      <c r="E20" t="s">
        <v>391</v>
      </c>
    </row>
    <row r="21" spans="3:5" ht="33" customHeight="1" x14ac:dyDescent="0.15">
      <c r="E21" s="495" t="s">
        <v>392</v>
      </c>
    </row>
    <row r="23" spans="3:5" ht="27" x14ac:dyDescent="0.15">
      <c r="D23" t="s">
        <v>393</v>
      </c>
      <c r="E23" s="495" t="s">
        <v>394</v>
      </c>
    </row>
    <row r="24" spans="3:5" x14ac:dyDescent="0.15">
      <c r="E24" t="s">
        <v>395</v>
      </c>
    </row>
    <row r="25" spans="3:5" x14ac:dyDescent="0.15">
      <c r="E25" s="495" t="s">
        <v>396</v>
      </c>
    </row>
    <row r="26" spans="3:5" x14ac:dyDescent="0.15">
      <c r="E26" t="s">
        <v>397</v>
      </c>
    </row>
    <row r="28" spans="3:5" ht="14.25" x14ac:dyDescent="0.15">
      <c r="C28" s="493" t="s">
        <v>398</v>
      </c>
      <c r="E28" t="s">
        <v>399</v>
      </c>
    </row>
    <row r="29" spans="3:5" x14ac:dyDescent="0.15">
      <c r="E29" t="s">
        <v>400</v>
      </c>
    </row>
    <row r="30" spans="3:5" x14ac:dyDescent="0.15">
      <c r="E30" t="s">
        <v>508</v>
      </c>
    </row>
    <row r="32" spans="3:5" ht="14.25" x14ac:dyDescent="0.15">
      <c r="C32" s="493" t="s">
        <v>401</v>
      </c>
      <c r="E32" t="s">
        <v>509</v>
      </c>
    </row>
    <row r="33" spans="3:5" x14ac:dyDescent="0.15">
      <c r="E33" t="s">
        <v>402</v>
      </c>
    </row>
    <row r="35" spans="3:5" ht="14.25" x14ac:dyDescent="0.15">
      <c r="C35" s="493" t="s">
        <v>403</v>
      </c>
      <c r="E35" t="s">
        <v>404</v>
      </c>
    </row>
    <row r="36" spans="3:5" x14ac:dyDescent="0.15">
      <c r="C36" t="s">
        <v>405</v>
      </c>
      <c r="E36" t="s">
        <v>406</v>
      </c>
    </row>
    <row r="37" spans="3:5" x14ac:dyDescent="0.15">
      <c r="E37" t="s">
        <v>407</v>
      </c>
    </row>
  </sheetData>
  <phoneticPr fontId="1"/>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Drop Down 1">
              <controlPr defaultSize="0" autoLine="0" autoPict="0">
                <anchor moveWithCells="1">
                  <from>
                    <xdr:col>7</xdr:col>
                    <xdr:colOff>476250</xdr:colOff>
                    <xdr:row>5</xdr:row>
                    <xdr:rowOff>9525</xdr:rowOff>
                  </from>
                  <to>
                    <xdr:col>8</xdr:col>
                    <xdr:colOff>571500</xdr:colOff>
                    <xdr:row>6</xdr:row>
                    <xdr:rowOff>66675</xdr:rowOff>
                  </to>
                </anchor>
              </controlPr>
            </control>
          </mc:Choice>
        </mc:AlternateContent>
        <mc:AlternateContent xmlns:mc="http://schemas.openxmlformats.org/markup-compatibility/2006">
          <mc:Choice Requires="x14">
            <control shapeId="2050" r:id="rId4" name="Drop Down 2">
              <controlPr defaultSize="0" autoLine="0" autoPict="0">
                <anchor moveWithCells="1">
                  <from>
                    <xdr:col>7</xdr:col>
                    <xdr:colOff>476250</xdr:colOff>
                    <xdr:row>8</xdr:row>
                    <xdr:rowOff>9525</xdr:rowOff>
                  </from>
                  <to>
                    <xdr:col>8</xdr:col>
                    <xdr:colOff>571500</xdr:colOff>
                    <xdr:row>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B2:H43"/>
  <sheetViews>
    <sheetView workbookViewId="0">
      <selection activeCell="C13" sqref="C13:H19"/>
    </sheetView>
  </sheetViews>
  <sheetFormatPr defaultRowHeight="13.5" x14ac:dyDescent="0.15"/>
  <cols>
    <col min="3" max="3" width="10.125" customWidth="1"/>
    <col min="4" max="4" width="9.625" customWidth="1"/>
    <col min="5" max="8" width="9" style="108"/>
  </cols>
  <sheetData>
    <row r="2" spans="2:8" x14ac:dyDescent="0.15">
      <c r="B2" t="s">
        <v>67</v>
      </c>
    </row>
    <row r="3" spans="2:8" ht="19.5" customHeight="1" x14ac:dyDescent="0.15"/>
    <row r="4" spans="2:8" ht="18" customHeight="1" x14ac:dyDescent="0.15">
      <c r="C4" t="s">
        <v>73</v>
      </c>
    </row>
    <row r="5" spans="2:8" ht="18" customHeight="1" x14ac:dyDescent="0.15">
      <c r="C5" t="s">
        <v>66</v>
      </c>
    </row>
    <row r="6" spans="2:8" ht="18" customHeight="1" x14ac:dyDescent="0.15">
      <c r="C6" t="s">
        <v>466</v>
      </c>
    </row>
    <row r="7" spans="2:8" ht="18" customHeight="1" x14ac:dyDescent="0.15"/>
    <row r="8" spans="2:8" ht="18" customHeight="1" x14ac:dyDescent="0.15"/>
    <row r="9" spans="2:8" ht="18" customHeight="1" x14ac:dyDescent="0.15"/>
    <row r="10" spans="2:8" ht="18" customHeight="1" x14ac:dyDescent="0.15"/>
    <row r="11" spans="2:8" ht="18" customHeight="1" x14ac:dyDescent="0.15">
      <c r="F11" s="137"/>
    </row>
    <row r="12" spans="2:8" ht="15.75" customHeight="1" x14ac:dyDescent="0.15"/>
    <row r="13" spans="2:8" ht="15.75" customHeight="1" x14ac:dyDescent="0.15">
      <c r="C13" s="107" t="s">
        <v>325</v>
      </c>
      <c r="D13" s="107" t="s">
        <v>326</v>
      </c>
      <c r="E13" s="233"/>
      <c r="F13" s="233"/>
      <c r="G13" s="233"/>
      <c r="H13" s="233"/>
    </row>
    <row r="14" spans="2:8" ht="15.75" customHeight="1" x14ac:dyDescent="0.15">
      <c r="C14" s="237" t="str">
        <f>IF(シート①入力画面!P27="","",シート①入力画面!P27)</f>
        <v/>
      </c>
      <c r="D14" s="314" t="str">
        <f>IF(シート①入力画面!Q27="","",シート①入力画面!Q27)</f>
        <v/>
      </c>
      <c r="E14" s="233" t="str">
        <f>シート①入力画面!BX38</f>
        <v/>
      </c>
      <c r="F14" s="233" t="str">
        <f>シート①入力画面!BY38</f>
        <v/>
      </c>
      <c r="G14" s="233" t="str">
        <f>シート①入力画面!BZ38</f>
        <v/>
      </c>
      <c r="H14" s="233" t="str">
        <f>シート①入力画面!CA38</f>
        <v/>
      </c>
    </row>
    <row r="15" spans="2:8" ht="15.75" customHeight="1" x14ac:dyDescent="0.15">
      <c r="C15" s="237" t="str">
        <f>IF(シート①入力画面!P29="","",シート①入力画面!P29)</f>
        <v/>
      </c>
      <c r="D15" s="314" t="str">
        <f>IF(シート①入力画面!Q29="","",シート①入力画面!Q29)</f>
        <v/>
      </c>
      <c r="E15" s="233" t="str">
        <f>シート①入力画面!BX40</f>
        <v/>
      </c>
      <c r="F15" s="233" t="str">
        <f>シート①入力画面!BY40</f>
        <v/>
      </c>
      <c r="G15" s="233" t="str">
        <f>シート①入力画面!BZ40</f>
        <v/>
      </c>
      <c r="H15" s="233" t="str">
        <f>シート①入力画面!CA40</f>
        <v/>
      </c>
    </row>
    <row r="16" spans="2:8" ht="15.75" customHeight="1" x14ac:dyDescent="0.15">
      <c r="C16" s="237" t="str">
        <f>IF(シート①入力画面!P31="","",シート①入力画面!P31)</f>
        <v/>
      </c>
      <c r="D16" s="314" t="str">
        <f>IF(シート①入力画面!Q31="","",シート①入力画面!Q31)</f>
        <v/>
      </c>
      <c r="E16" s="233" t="str">
        <f>シート①入力画面!BX42</f>
        <v/>
      </c>
      <c r="F16" s="233" t="str">
        <f>シート①入力画面!BY42</f>
        <v/>
      </c>
      <c r="G16" s="233" t="str">
        <f>シート①入力画面!BZ42</f>
        <v/>
      </c>
      <c r="H16" s="233" t="str">
        <f>シート①入力画面!CA42</f>
        <v/>
      </c>
    </row>
    <row r="17" spans="3:8" ht="15.75" customHeight="1" x14ac:dyDescent="0.15">
      <c r="C17" s="237" t="str">
        <f>IF(シート①入力画面!P33="","",シート①入力画面!P33)</f>
        <v/>
      </c>
      <c r="D17" s="314" t="str">
        <f>IF(シート①入力画面!Q33="","",シート①入力画面!Q33)</f>
        <v/>
      </c>
      <c r="E17" s="233" t="str">
        <f>シート①入力画面!BX44</f>
        <v/>
      </c>
      <c r="F17" s="233" t="str">
        <f>シート①入力画面!BY44</f>
        <v/>
      </c>
      <c r="G17" s="233" t="str">
        <f>シート①入力画面!BZ44</f>
        <v/>
      </c>
      <c r="H17" s="233" t="str">
        <f>シート①入力画面!CA44</f>
        <v/>
      </c>
    </row>
    <row r="18" spans="3:8" ht="15.75" customHeight="1" x14ac:dyDescent="0.15">
      <c r="C18" s="237" t="str">
        <f>IF(シート①入力画面!P35="","",シート①入力画面!P35)</f>
        <v/>
      </c>
      <c r="D18" s="314" t="str">
        <f>IF(シート①入力画面!Q35="","",シート①入力画面!Q35)</f>
        <v/>
      </c>
      <c r="E18" s="233" t="str">
        <f>シート①入力画面!BX46</f>
        <v/>
      </c>
      <c r="F18" s="233" t="str">
        <f>シート①入力画面!BY46</f>
        <v/>
      </c>
      <c r="G18" s="233" t="str">
        <f>シート①入力画面!BZ46</f>
        <v/>
      </c>
      <c r="H18" s="233" t="str">
        <f>シート①入力画面!CA46</f>
        <v/>
      </c>
    </row>
    <row r="19" spans="3:8" ht="15.75" customHeight="1" x14ac:dyDescent="0.15">
      <c r="C19" s="237" t="str">
        <f>IF(シート①入力画面!P37="","",シート①入力画面!P37)</f>
        <v/>
      </c>
      <c r="D19" s="314" t="str">
        <f>IF(シート①入力画面!Q37="","",シート①入力画面!Q37)</f>
        <v/>
      </c>
      <c r="E19" s="233" t="str">
        <f>シート①入力画面!BX48</f>
        <v/>
      </c>
      <c r="F19" s="233" t="str">
        <f>シート①入力画面!BY48</f>
        <v/>
      </c>
      <c r="G19" s="233" t="str">
        <f>シート①入力画面!BZ48</f>
        <v/>
      </c>
      <c r="H19" s="233" t="str">
        <f>シート①入力画面!CA48</f>
        <v/>
      </c>
    </row>
    <row r="20" spans="3:8" ht="15.75" customHeight="1" x14ac:dyDescent="0.15">
      <c r="C20" s="237" t="str">
        <f>IF(シート①入力画面!P39="","",シート①入力画面!P39)</f>
        <v/>
      </c>
      <c r="D20" s="314" t="str">
        <f>IF(シート①入力画面!Q39="","",シート①入力画面!Q39)</f>
        <v/>
      </c>
      <c r="E20" s="233" t="str">
        <f>シート①入力画面!BX50</f>
        <v/>
      </c>
      <c r="F20" s="233" t="str">
        <f>シート①入力画面!BY50</f>
        <v/>
      </c>
      <c r="G20" s="233" t="str">
        <f>シート①入力画面!BZ50</f>
        <v/>
      </c>
      <c r="H20" s="233" t="str">
        <f>シート①入力画面!CA50</f>
        <v/>
      </c>
    </row>
    <row r="21" spans="3:8" ht="15.75" customHeight="1" x14ac:dyDescent="0.15">
      <c r="C21" s="237" t="str">
        <f>IF(シート①入力画面!P41="","",シート①入力画面!P41)</f>
        <v/>
      </c>
      <c r="D21" s="314" t="str">
        <f>IF(シート①入力画面!Q41="","",シート①入力画面!Q41)</f>
        <v/>
      </c>
      <c r="E21" s="233" t="str">
        <f>シート①入力画面!BX52</f>
        <v/>
      </c>
      <c r="F21" s="233" t="str">
        <f>シート①入力画面!BY52</f>
        <v/>
      </c>
      <c r="G21" s="233" t="str">
        <f>シート①入力画面!BZ52</f>
        <v/>
      </c>
      <c r="H21" s="233" t="str">
        <f>シート①入力画面!CA52</f>
        <v/>
      </c>
    </row>
    <row r="22" spans="3:8" ht="15.75" customHeight="1" x14ac:dyDescent="0.15">
      <c r="C22" s="237" t="str">
        <f>IF(シート①入力画面!P43="","",シート①入力画面!P43)</f>
        <v/>
      </c>
      <c r="D22" s="314" t="str">
        <f>IF(シート①入力画面!Q43="","",シート①入力画面!Q43)</f>
        <v/>
      </c>
      <c r="E22" s="233" t="str">
        <f>シート①入力画面!BX54</f>
        <v/>
      </c>
      <c r="F22" s="233" t="str">
        <f>シート①入力画面!BY54</f>
        <v/>
      </c>
      <c r="G22" s="233" t="str">
        <f>シート①入力画面!BZ54</f>
        <v/>
      </c>
      <c r="H22" s="233" t="str">
        <f>シート①入力画面!CA54</f>
        <v/>
      </c>
    </row>
    <row r="23" spans="3:8" ht="15.75" customHeight="1" x14ac:dyDescent="0.15">
      <c r="C23" s="237" t="str">
        <f>IF(シート①入力画面!P45="","",シート①入力画面!P45)</f>
        <v/>
      </c>
      <c r="D23" s="314" t="str">
        <f>IF(シート①入力画面!Q45="","",シート①入力画面!Q45)</f>
        <v/>
      </c>
      <c r="E23" s="233" t="str">
        <f>シート①入力画面!BX56</f>
        <v/>
      </c>
      <c r="F23" s="233" t="str">
        <f>シート①入力画面!BY56</f>
        <v/>
      </c>
      <c r="G23" s="233" t="str">
        <f>シート①入力画面!BZ56</f>
        <v/>
      </c>
      <c r="H23" s="233" t="str">
        <f>シート①入力画面!CA56</f>
        <v/>
      </c>
    </row>
    <row r="24" spans="3:8" ht="15.75" customHeight="1" x14ac:dyDescent="0.15">
      <c r="C24" s="237" t="str">
        <f>IF(シート①入力画面!P47="","",シート①入力画面!P47)</f>
        <v/>
      </c>
      <c r="D24" s="314" t="str">
        <f>IF(シート①入力画面!Q47="","",シート①入力画面!Q47)</f>
        <v/>
      </c>
      <c r="E24" s="233" t="str">
        <f>シート①入力画面!BX58</f>
        <v/>
      </c>
      <c r="F24" s="233" t="str">
        <f>シート①入力画面!BY58</f>
        <v/>
      </c>
      <c r="G24" s="233" t="str">
        <f>シート①入力画面!BZ58</f>
        <v/>
      </c>
      <c r="H24" s="233" t="str">
        <f>シート①入力画面!CA58</f>
        <v/>
      </c>
    </row>
    <row r="25" spans="3:8" ht="15.75" customHeight="1" x14ac:dyDescent="0.15">
      <c r="C25" s="237" t="str">
        <f>IF(シート①入力画面!P49="","",シート①入力画面!P49)</f>
        <v/>
      </c>
      <c r="D25" s="314" t="str">
        <f>IF(シート①入力画面!Q49="","",シート①入力画面!Q49)</f>
        <v/>
      </c>
      <c r="E25" s="233" t="str">
        <f>シート①入力画面!BX60</f>
        <v/>
      </c>
      <c r="F25" s="233" t="str">
        <f>シート①入力画面!BY60</f>
        <v/>
      </c>
      <c r="G25" s="233" t="str">
        <f>シート①入力画面!BZ60</f>
        <v/>
      </c>
      <c r="H25" s="233" t="str">
        <f>シート①入力画面!CA60</f>
        <v/>
      </c>
    </row>
    <row r="26" spans="3:8" ht="15.75" customHeight="1" x14ac:dyDescent="0.15"/>
    <row r="27" spans="3:8" ht="15.75" customHeight="1" x14ac:dyDescent="0.15"/>
    <row r="28" spans="3:8" ht="15.75" customHeight="1" x14ac:dyDescent="0.15"/>
    <row r="29" spans="3:8" ht="15.75" customHeight="1" x14ac:dyDescent="0.15"/>
    <row r="30" spans="3:8" ht="15.75" customHeight="1" x14ac:dyDescent="0.15"/>
    <row r="31" spans="3:8" ht="15.75" customHeight="1" x14ac:dyDescent="0.15">
      <c r="C31" s="13"/>
      <c r="D31" s="236"/>
    </row>
    <row r="32" spans="3:8" x14ac:dyDescent="0.15">
      <c r="C32" s="13"/>
      <c r="D32" s="236"/>
    </row>
    <row r="33" spans="3:4" x14ac:dyDescent="0.15">
      <c r="C33" s="13"/>
      <c r="D33" s="236"/>
    </row>
    <row r="34" spans="3:4" x14ac:dyDescent="0.15">
      <c r="C34" s="13"/>
      <c r="D34" s="236"/>
    </row>
    <row r="35" spans="3:4" x14ac:dyDescent="0.15">
      <c r="C35" s="13"/>
      <c r="D35" s="236"/>
    </row>
    <row r="36" spans="3:4" x14ac:dyDescent="0.15">
      <c r="C36" s="13"/>
      <c r="D36" s="236"/>
    </row>
    <row r="37" spans="3:4" x14ac:dyDescent="0.15">
      <c r="C37" s="13"/>
      <c r="D37" s="236"/>
    </row>
    <row r="38" spans="3:4" x14ac:dyDescent="0.15">
      <c r="C38" s="13"/>
      <c r="D38" s="236"/>
    </row>
    <row r="39" spans="3:4" x14ac:dyDescent="0.15">
      <c r="C39" s="13"/>
      <c r="D39" s="236"/>
    </row>
    <row r="40" spans="3:4" x14ac:dyDescent="0.15">
      <c r="C40" s="13"/>
      <c r="D40" s="236"/>
    </row>
    <row r="41" spans="3:4" x14ac:dyDescent="0.15">
      <c r="D41" s="148"/>
    </row>
    <row r="42" spans="3:4" x14ac:dyDescent="0.15">
      <c r="D42" s="148"/>
    </row>
    <row r="43" spans="3:4" x14ac:dyDescent="0.15">
      <c r="D43" s="148"/>
    </row>
  </sheetData>
  <sheetProtection sheet="1" objects="1" scenarios="1" formatCells="0" formatColumns="0" formatRows="0" deleteColumns="0" deleteRows="0"/>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P66"/>
  <sheetViews>
    <sheetView topLeftCell="A7" workbookViewId="0">
      <selection activeCell="L28" sqref="L28:L29"/>
    </sheetView>
  </sheetViews>
  <sheetFormatPr defaultRowHeight="13.5" x14ac:dyDescent="0.15"/>
  <cols>
    <col min="2" max="2" width="3.25" customWidth="1"/>
    <col min="3" max="3" width="12.625" customWidth="1"/>
    <col min="5" max="8" width="14.125" customWidth="1"/>
    <col min="9" max="9" width="4.125" customWidth="1"/>
    <col min="13" max="16" width="14.125" customWidth="1"/>
  </cols>
  <sheetData>
    <row r="2" spans="2:16" x14ac:dyDescent="0.15">
      <c r="B2" t="s">
        <v>64</v>
      </c>
    </row>
    <row r="4" spans="2:16" x14ac:dyDescent="0.15">
      <c r="C4" t="s">
        <v>73</v>
      </c>
    </row>
    <row r="5" spans="2:16" x14ac:dyDescent="0.15">
      <c r="C5" t="s">
        <v>66</v>
      </c>
    </row>
    <row r="6" spans="2:16" x14ac:dyDescent="0.15">
      <c r="C6" t="s">
        <v>466</v>
      </c>
    </row>
    <row r="9" spans="2:16" x14ac:dyDescent="0.15">
      <c r="B9" s="23"/>
      <c r="D9" s="137"/>
      <c r="E9" s="98"/>
      <c r="G9" s="23"/>
    </row>
    <row r="10" spans="2:16" ht="18" thickBot="1" x14ac:dyDescent="0.2">
      <c r="B10" s="104"/>
      <c r="I10" s="104"/>
      <c r="K10" s="105"/>
      <c r="L10" s="104"/>
      <c r="M10" s="104"/>
      <c r="N10" s="104"/>
      <c r="O10" s="104"/>
      <c r="P10" s="104"/>
    </row>
    <row r="11" spans="2:16" ht="14.25" thickBot="1" x14ac:dyDescent="0.2">
      <c r="B11" s="104"/>
      <c r="F11" s="153" t="s">
        <v>44</v>
      </c>
      <c r="G11" s="789">
        <f>シート①入力画面!Q21</f>
        <v>0</v>
      </c>
      <c r="H11" s="790"/>
      <c r="I11" s="104"/>
      <c r="K11" s="104"/>
      <c r="L11" s="104"/>
      <c r="M11" s="104"/>
      <c r="N11" s="132"/>
      <c r="O11" s="798"/>
      <c r="P11" s="798"/>
    </row>
    <row r="12" spans="2:16" ht="15" thickBot="1" x14ac:dyDescent="0.2">
      <c r="B12" s="104"/>
      <c r="C12" s="103" t="s">
        <v>47</v>
      </c>
      <c r="F12" s="154" t="s">
        <v>45</v>
      </c>
      <c r="G12" s="789">
        <f>シート①入力画面!Q22</f>
        <v>0</v>
      </c>
      <c r="H12" s="790"/>
      <c r="I12" s="104"/>
      <c r="K12" s="103"/>
      <c r="L12" s="104"/>
      <c r="M12" s="104"/>
      <c r="N12" s="132"/>
      <c r="O12" s="798"/>
      <c r="P12" s="798"/>
    </row>
    <row r="13" spans="2:16" ht="14.25" thickBot="1" x14ac:dyDescent="0.2">
      <c r="B13" s="104"/>
      <c r="F13" s="155" t="s">
        <v>46</v>
      </c>
      <c r="G13" s="791" t="str">
        <f>シート①入力画面!Q23</f>
        <v xml:space="preserve"> --</v>
      </c>
      <c r="H13" s="792"/>
      <c r="I13" s="104"/>
      <c r="K13" s="104"/>
      <c r="L13" s="104"/>
      <c r="M13" s="104"/>
      <c r="N13" s="132"/>
      <c r="O13" s="798"/>
      <c r="P13" s="798"/>
    </row>
    <row r="14" spans="2:16" ht="6.75" customHeight="1" thickBot="1" x14ac:dyDescent="0.2">
      <c r="B14" s="104"/>
      <c r="I14" s="104"/>
      <c r="K14" s="104"/>
      <c r="L14" s="104"/>
      <c r="M14" s="104"/>
      <c r="N14" s="104"/>
      <c r="O14" s="105"/>
      <c r="P14" s="104"/>
    </row>
    <row r="15" spans="2:16" ht="19.5" customHeight="1" thickBot="1" x14ac:dyDescent="0.2">
      <c r="B15" s="24"/>
      <c r="C15" s="156" t="s">
        <v>35</v>
      </c>
      <c r="D15" s="157" t="s">
        <v>34</v>
      </c>
      <c r="E15" s="158"/>
      <c r="F15" s="158"/>
      <c r="G15" s="158" t="s">
        <v>48</v>
      </c>
      <c r="H15" s="159"/>
      <c r="I15" s="24"/>
      <c r="K15" s="132"/>
      <c r="L15" s="104"/>
      <c r="M15" s="104"/>
      <c r="N15" s="104"/>
      <c r="O15" s="104"/>
      <c r="P15" s="104"/>
    </row>
    <row r="16" spans="2:16" ht="17.25" customHeight="1" thickTop="1" x14ac:dyDescent="0.15">
      <c r="B16" s="24"/>
      <c r="C16" s="793" t="str">
        <f>IF(シート①入力画面!P27="","",シート①入力画面!P27)</f>
        <v/>
      </c>
      <c r="D16" s="795" t="str">
        <f>IF(シート①入力画面!Q27="","",シート①入力画面!Q27)</f>
        <v/>
      </c>
      <c r="E16" s="635" t="str">
        <f>IF(E17="","",VLOOKUP(E17,集計!$C$6:$D$70,2,FALSE))</f>
        <v/>
      </c>
      <c r="F16" s="635" t="str">
        <f>IF(F17="","",VLOOKUP(F17,集計!$C$6:$D$70,2,FALSE))</f>
        <v/>
      </c>
      <c r="G16" s="635" t="str">
        <f>IF(G17="","",VLOOKUP(G17,集計!$C$6:$D$70,2,FALSE))</f>
        <v/>
      </c>
      <c r="H16" s="635" t="str">
        <f>IF(H17="","",VLOOKUP(H17,集計!$C$6:$D$70,2,FALSE))</f>
        <v/>
      </c>
      <c r="I16" s="24"/>
      <c r="K16" s="800"/>
      <c r="L16" s="799"/>
      <c r="M16" s="135"/>
      <c r="N16" s="135"/>
      <c r="O16" s="135"/>
      <c r="P16" s="135"/>
    </row>
    <row r="17" spans="2:16" s="1" customFormat="1" ht="22.5" customHeight="1" thickBot="1" x14ac:dyDescent="0.2">
      <c r="B17" s="133"/>
      <c r="C17" s="794"/>
      <c r="D17" s="787"/>
      <c r="E17" s="636" t="str">
        <f>IF(シート①入力画面!BX38="","",VLOOKUP(シート①入力画面!BX38,集計!$B$6:$C$70,2,FALSE))</f>
        <v/>
      </c>
      <c r="F17" s="636" t="str">
        <f>IF(シート①入力画面!BY38="","",VLOOKUP(シート①入力画面!BY38,集計!$B$6:$C$70,2,FALSE))</f>
        <v/>
      </c>
      <c r="G17" s="636" t="str">
        <f>IF(シート①入力画面!BZ38="","",VLOOKUP(シート①入力画面!BZ38,集計!$B$6:$C$70,2,FALSE))</f>
        <v/>
      </c>
      <c r="H17" s="636" t="str">
        <f>IF(シート①入力画面!CA38="","",VLOOKUP(シート①入力画面!CA38,集計!$B$6:$C$70,2,FALSE))</f>
        <v/>
      </c>
      <c r="I17" s="133"/>
      <c r="K17" s="800"/>
      <c r="L17" s="799"/>
      <c r="M17" s="136"/>
      <c r="N17" s="136"/>
      <c r="O17" s="136"/>
      <c r="P17" s="136"/>
    </row>
    <row r="18" spans="2:16" ht="17.25" customHeight="1" thickTop="1" x14ac:dyDescent="0.15">
      <c r="B18" s="24"/>
      <c r="C18" s="793" t="str">
        <f>IF(シート①入力画面!P29="","",シート①入力画面!P29)</f>
        <v/>
      </c>
      <c r="D18" s="795" t="str">
        <f>IF(シート①入力画面!Q29="","",シート①入力画面!Q29)</f>
        <v/>
      </c>
      <c r="E18" s="635" t="str">
        <f>IF(E19="","",VLOOKUP(E19,集計!$C$6:$D$70,2,FALSE))</f>
        <v/>
      </c>
      <c r="F18" s="635" t="str">
        <f>IF(F19="","",VLOOKUP(F19,集計!$C$6:$D$70,2,FALSE))</f>
        <v/>
      </c>
      <c r="G18" s="635" t="str">
        <f>IF(G19="","",VLOOKUP(G19,集計!$C$6:$D$70,2,FALSE))</f>
        <v/>
      </c>
      <c r="H18" s="635" t="str">
        <f>IF(H19="","",VLOOKUP(H19,集計!$C$6:$D$70,2,FALSE))</f>
        <v/>
      </c>
      <c r="I18" s="24"/>
      <c r="K18" s="800"/>
      <c r="L18" s="799"/>
      <c r="M18" s="135"/>
      <c r="N18" s="135"/>
      <c r="O18" s="135"/>
      <c r="P18" s="135"/>
    </row>
    <row r="19" spans="2:16" s="1" customFormat="1" ht="22.5" customHeight="1" thickBot="1" x14ac:dyDescent="0.2">
      <c r="B19" s="133"/>
      <c r="C19" s="794"/>
      <c r="D19" s="787"/>
      <c r="E19" s="636" t="str">
        <f>IF(シート①入力画面!BX40="","",VLOOKUP(シート①入力画面!BX40,集計!$B$6:$C$70,2,FALSE))</f>
        <v/>
      </c>
      <c r="F19" s="636" t="str">
        <f>IF(シート①入力画面!BY40="","",VLOOKUP(シート①入力画面!BY40,集計!$B$6:$C$70,2,FALSE))</f>
        <v/>
      </c>
      <c r="G19" s="636" t="str">
        <f>IF(シート①入力画面!BZ40="","",VLOOKUP(シート①入力画面!BZ40,集計!$B$6:$C$70,2,FALSE))</f>
        <v/>
      </c>
      <c r="H19" s="636" t="str">
        <f>IF(シート①入力画面!CA40="","",VLOOKUP(シート①入力画面!CA40,集計!$B$6:$C$70,2,FALSE))</f>
        <v/>
      </c>
      <c r="I19" s="133"/>
      <c r="K19" s="800"/>
      <c r="L19" s="799"/>
      <c r="M19" s="136"/>
      <c r="N19" s="136"/>
      <c r="O19" s="136"/>
      <c r="P19" s="136"/>
    </row>
    <row r="20" spans="2:16" ht="17.25" customHeight="1" thickTop="1" x14ac:dyDescent="0.15">
      <c r="B20" s="24"/>
      <c r="C20" s="793" t="str">
        <f>IF(シート①入力画面!P31="","",シート①入力画面!P31)</f>
        <v/>
      </c>
      <c r="D20" s="795" t="str">
        <f>IF(シート①入力画面!Q31="","",シート①入力画面!Q31)</f>
        <v/>
      </c>
      <c r="E20" s="635" t="str">
        <f>IF(E21="","",VLOOKUP(E21,集計!$C$6:$D$70,2,FALSE))</f>
        <v/>
      </c>
      <c r="F20" s="635" t="str">
        <f>IF(F21="","",VLOOKUP(F21,集計!$C$6:$D$70,2,FALSE))</f>
        <v/>
      </c>
      <c r="G20" s="635" t="str">
        <f>IF(G21="","",VLOOKUP(G21,集計!$C$6:$D$70,2,FALSE))</f>
        <v/>
      </c>
      <c r="H20" s="635" t="str">
        <f>IF(H21="","",VLOOKUP(H21,集計!$C$6:$D$70,2,FALSE))</f>
        <v/>
      </c>
      <c r="I20" s="24"/>
      <c r="K20" s="801"/>
      <c r="L20" s="799"/>
      <c r="M20" s="135"/>
      <c r="N20" s="135"/>
      <c r="O20" s="135"/>
      <c r="P20" s="135"/>
    </row>
    <row r="21" spans="2:16" s="1" customFormat="1" ht="22.5" customHeight="1" thickBot="1" x14ac:dyDescent="0.2">
      <c r="B21" s="133"/>
      <c r="C21" s="794"/>
      <c r="D21" s="787"/>
      <c r="E21" s="636" t="str">
        <f>IF(シート①入力画面!BX42="","",VLOOKUP(シート①入力画面!BX42,集計!$B$6:$C$70,2,FALSE))</f>
        <v/>
      </c>
      <c r="F21" s="636" t="str">
        <f>IF(シート①入力画面!BY42="","",VLOOKUP(シート①入力画面!BY42,集計!$B$6:$C$70,2,FALSE))</f>
        <v/>
      </c>
      <c r="G21" s="636" t="str">
        <f>IF(シート①入力画面!BZ42="","",VLOOKUP(シート①入力画面!BZ42,集計!$B$6:$C$70,2,FALSE))</f>
        <v/>
      </c>
      <c r="H21" s="636" t="str">
        <f>IF(シート①入力画面!CA42="","",VLOOKUP(シート①入力画面!CA42,集計!$B$6:$C$70,2,FALSE))</f>
        <v/>
      </c>
      <c r="I21" s="133"/>
      <c r="K21" s="801"/>
      <c r="L21" s="799"/>
      <c r="M21" s="136"/>
      <c r="N21" s="136"/>
      <c r="O21" s="136"/>
      <c r="P21" s="136"/>
    </row>
    <row r="22" spans="2:16" ht="17.25" customHeight="1" thickTop="1" x14ac:dyDescent="0.15">
      <c r="B22" s="24"/>
      <c r="C22" s="793" t="str">
        <f>IF(シート①入力画面!P33="","",シート①入力画面!P33)</f>
        <v/>
      </c>
      <c r="D22" s="795" t="str">
        <f>IF(シート①入力画面!Q33="","",シート①入力画面!Q33)</f>
        <v/>
      </c>
      <c r="E22" s="635" t="str">
        <f>IF(E23="","",VLOOKUP(E23,集計!$C$6:$D$70,2,FALSE))</f>
        <v/>
      </c>
      <c r="F22" s="635" t="str">
        <f>IF(F23="","",VLOOKUP(F23,集計!$C$6:$D$70,2,FALSE))</f>
        <v/>
      </c>
      <c r="G22" s="635" t="str">
        <f>IF(G23="","",VLOOKUP(G23,集計!$C$6:$D$70,2,FALSE))</f>
        <v/>
      </c>
      <c r="H22" s="635" t="str">
        <f>IF(H23="","",VLOOKUP(H23,集計!$C$6:$D$70,2,FALSE))</f>
        <v/>
      </c>
      <c r="I22" s="24"/>
      <c r="K22" s="800"/>
      <c r="L22" s="799"/>
      <c r="M22" s="135"/>
      <c r="N22" s="135"/>
      <c r="O22" s="135"/>
      <c r="P22" s="135"/>
    </row>
    <row r="23" spans="2:16" s="1" customFormat="1" ht="22.5" customHeight="1" thickBot="1" x14ac:dyDescent="0.2">
      <c r="B23" s="133"/>
      <c r="C23" s="794"/>
      <c r="D23" s="787"/>
      <c r="E23" s="636" t="str">
        <f>IF(シート①入力画面!BX44="","",VLOOKUP(シート①入力画面!BX44,集計!$B$6:$C$70,2,FALSE))</f>
        <v/>
      </c>
      <c r="F23" s="636" t="str">
        <f>IF(シート①入力画面!BY44="","",VLOOKUP(シート①入力画面!BY44,集計!$B$6:$C$70,2,FALSE))</f>
        <v/>
      </c>
      <c r="G23" s="636" t="str">
        <f>IF(シート①入力画面!BZ44="","",VLOOKUP(シート①入力画面!BZ44,集計!$B$6:$C$70,2,FALSE))</f>
        <v/>
      </c>
      <c r="H23" s="636" t="str">
        <f>IF(シート①入力画面!CA44="","",VLOOKUP(シート①入力画面!CA44,集計!$B$6:$C$70,2,FALSE))</f>
        <v/>
      </c>
      <c r="I23" s="133"/>
      <c r="K23" s="800"/>
      <c r="L23" s="799"/>
      <c r="M23" s="136"/>
      <c r="N23" s="136"/>
      <c r="O23" s="136"/>
      <c r="P23" s="136"/>
    </row>
    <row r="24" spans="2:16" ht="17.25" customHeight="1" thickTop="1" x14ac:dyDescent="0.15">
      <c r="B24" s="24"/>
      <c r="C24" s="793" t="str">
        <f>IF(シート①入力画面!P35="","",シート①入力画面!P35)</f>
        <v/>
      </c>
      <c r="D24" s="795" t="str">
        <f>IF(シート①入力画面!Q35="","",シート①入力画面!Q35)</f>
        <v/>
      </c>
      <c r="E24" s="635" t="str">
        <f>IF(E25="","",VLOOKUP(E25,集計!$C$6:$D$70,2,FALSE))</f>
        <v/>
      </c>
      <c r="F24" s="635" t="str">
        <f>IF(F25="","",VLOOKUP(F25,集計!$C$6:$D$70,2,FALSE))</f>
        <v/>
      </c>
      <c r="G24" s="635" t="str">
        <f>IF(G25="","",VLOOKUP(G25,集計!$C$6:$D$70,2,FALSE))</f>
        <v/>
      </c>
      <c r="H24" s="635" t="str">
        <f>IF(H25="","",VLOOKUP(H25,集計!$C$6:$D$70,2,FALSE))</f>
        <v/>
      </c>
      <c r="I24" s="24"/>
      <c r="K24" s="800"/>
      <c r="L24" s="799"/>
      <c r="M24" s="135"/>
      <c r="N24" s="135"/>
      <c r="O24" s="135"/>
      <c r="P24" s="135"/>
    </row>
    <row r="25" spans="2:16" s="1" customFormat="1" ht="22.5" customHeight="1" thickBot="1" x14ac:dyDescent="0.2">
      <c r="B25" s="133"/>
      <c r="C25" s="794"/>
      <c r="D25" s="787"/>
      <c r="E25" s="636" t="str">
        <f>IF(シート①入力画面!BX46="","",VLOOKUP(シート①入力画面!BX46,集計!$B$6:$C$70,2,FALSE))</f>
        <v/>
      </c>
      <c r="F25" s="636" t="str">
        <f>IF(シート①入力画面!BY46="","",VLOOKUP(シート①入力画面!BY46,集計!$B$6:$C$70,2,FALSE))</f>
        <v/>
      </c>
      <c r="G25" s="636" t="str">
        <f>IF(シート①入力画面!BZ46="","",VLOOKUP(シート①入力画面!BZ46,集計!$B$6:$C$70,2,FALSE))</f>
        <v/>
      </c>
      <c r="H25" s="636" t="str">
        <f>IF(シート①入力画面!CA46="","",VLOOKUP(シート①入力画面!CA46,集計!$B$6:$C$70,2,FALSE))</f>
        <v/>
      </c>
      <c r="I25" s="133"/>
      <c r="K25" s="800"/>
      <c r="L25" s="799"/>
      <c r="M25" s="136"/>
      <c r="N25" s="136"/>
      <c r="O25" s="136"/>
      <c r="P25" s="136"/>
    </row>
    <row r="26" spans="2:16" ht="17.25" customHeight="1" thickTop="1" x14ac:dyDescent="0.15">
      <c r="B26" s="24"/>
      <c r="C26" s="793" t="str">
        <f>IF(シート①入力画面!P37="","",シート①入力画面!P37)</f>
        <v/>
      </c>
      <c r="D26" s="795" t="str">
        <f>IF(シート①入力画面!Q37="","",シート①入力画面!Q37)</f>
        <v/>
      </c>
      <c r="E26" s="635" t="str">
        <f>IF(E27="","",VLOOKUP(E27,集計!$C$6:$D$70,2,FALSE))</f>
        <v/>
      </c>
      <c r="F26" s="635" t="str">
        <f>IF(F27="","",VLOOKUP(F27,集計!$C$6:$D$70,2,FALSE))</f>
        <v/>
      </c>
      <c r="G26" s="635" t="str">
        <f>IF(G27="","",VLOOKUP(G27,集計!$C$6:$D$70,2,FALSE))</f>
        <v/>
      </c>
      <c r="H26" s="635" t="str">
        <f>IF(H27="","",VLOOKUP(H27,集計!$C$6:$D$70,2,FALSE))</f>
        <v/>
      </c>
      <c r="I26" s="24"/>
      <c r="K26" s="800"/>
      <c r="L26" s="799"/>
      <c r="M26" s="135"/>
      <c r="N26" s="135"/>
      <c r="O26" s="135"/>
      <c r="P26" s="135"/>
    </row>
    <row r="27" spans="2:16" s="1" customFormat="1" ht="22.5" customHeight="1" thickBot="1" x14ac:dyDescent="0.2">
      <c r="B27" s="133"/>
      <c r="C27" s="794"/>
      <c r="D27" s="787"/>
      <c r="E27" s="636" t="str">
        <f>IF(シート①入力画面!BX48="","",VLOOKUP(シート①入力画面!BX48,集計!$B$6:$C$70,2,FALSE))</f>
        <v/>
      </c>
      <c r="F27" s="636" t="str">
        <f>IF(シート①入力画面!BY48="","",VLOOKUP(シート①入力画面!BY48,集計!$B$6:$C$70,2,FALSE))</f>
        <v/>
      </c>
      <c r="G27" s="636" t="str">
        <f>IF(シート①入力画面!BZ48="","",VLOOKUP(シート①入力画面!BZ48,集計!$B$6:$C$70,2,FALSE))</f>
        <v/>
      </c>
      <c r="H27" s="636" t="str">
        <f>IF(シート①入力画面!CA48="","",VLOOKUP(シート①入力画面!CA48,集計!$B$6:$C$70,2,FALSE))</f>
        <v/>
      </c>
      <c r="I27" s="133"/>
      <c r="K27" s="800"/>
      <c r="L27" s="799"/>
      <c r="M27" s="136"/>
      <c r="N27" s="136"/>
      <c r="O27" s="136"/>
      <c r="P27" s="136"/>
    </row>
    <row r="28" spans="2:16" ht="17.25" customHeight="1" thickTop="1" x14ac:dyDescent="0.15">
      <c r="B28" s="24"/>
      <c r="C28" s="793" t="str">
        <f>IF(シート①入力画面!P39="","",シート①入力画面!P39)</f>
        <v/>
      </c>
      <c r="D28" s="795" t="str">
        <f>IF(シート①入力画面!Q39="","",シート①入力画面!Q39)</f>
        <v/>
      </c>
      <c r="E28" s="635" t="str">
        <f>IF(E29="","",VLOOKUP(E29,集計!$C$6:$D$70,2,FALSE))</f>
        <v/>
      </c>
      <c r="F28" s="635" t="str">
        <f>IF(F29="","",VLOOKUP(F29,集計!$C$6:$D$70,2,FALSE))</f>
        <v/>
      </c>
      <c r="G28" s="635" t="str">
        <f>IF(G29="","",VLOOKUP(G29,集計!$C$6:$D$70,2,FALSE))</f>
        <v/>
      </c>
      <c r="H28" s="635" t="str">
        <f>IF(H29="","",VLOOKUP(H29,集計!$C$6:$D$70,2,FALSE))</f>
        <v/>
      </c>
      <c r="I28" s="24"/>
      <c r="K28" s="800"/>
      <c r="L28" s="799"/>
      <c r="M28" s="135"/>
      <c r="N28" s="135"/>
      <c r="O28" s="135"/>
      <c r="P28" s="135"/>
    </row>
    <row r="29" spans="2:16" s="1" customFormat="1" ht="22.5" customHeight="1" thickBot="1" x14ac:dyDescent="0.2">
      <c r="B29" s="133"/>
      <c r="C29" s="794"/>
      <c r="D29" s="787"/>
      <c r="E29" s="636" t="str">
        <f>IF(シート①入力画面!BX50="","",VLOOKUP(シート①入力画面!BX50,集計!$B$6:$C$70,2,FALSE))</f>
        <v/>
      </c>
      <c r="F29" s="636" t="str">
        <f>IF(シート①入力画面!BY50="","",VLOOKUP(シート①入力画面!BY50,集計!$B$6:$C$70,2,FALSE))</f>
        <v/>
      </c>
      <c r="G29" s="636" t="str">
        <f>IF(シート①入力画面!BZ50="","",VLOOKUP(シート①入力画面!BZ50,集計!$B$6:$C$70,2,FALSE))</f>
        <v/>
      </c>
      <c r="H29" s="636" t="str">
        <f>IF(シート①入力画面!CA50="","",VLOOKUP(シート①入力画面!CA50,集計!$B$6:$C$70,2,FALSE))</f>
        <v/>
      </c>
      <c r="I29" s="133"/>
      <c r="K29" s="800"/>
      <c r="L29" s="799"/>
      <c r="M29" s="136"/>
      <c r="N29" s="136"/>
      <c r="O29" s="136"/>
      <c r="P29" s="136"/>
    </row>
    <row r="30" spans="2:16" ht="17.25" customHeight="1" thickTop="1" x14ac:dyDescent="0.15">
      <c r="B30" s="24"/>
      <c r="C30" s="793" t="str">
        <f>IF(シート①入力画面!P41="","",シート①入力画面!P41)</f>
        <v/>
      </c>
      <c r="D30" s="795" t="str">
        <f>IF(シート①入力画面!Q41="","",シート①入力画面!Q41)</f>
        <v/>
      </c>
      <c r="E30" s="635" t="str">
        <f>IF(E31="","",VLOOKUP(E31,集計!$C$6:$D$70,2,FALSE))</f>
        <v/>
      </c>
      <c r="F30" s="635" t="str">
        <f>IF(F31="","",VLOOKUP(F31,集計!$C$6:$D$70,2,FALSE))</f>
        <v/>
      </c>
      <c r="G30" s="635" t="str">
        <f>IF(G31="","",VLOOKUP(G31,集計!$C$6:$D$70,2,FALSE))</f>
        <v/>
      </c>
      <c r="H30" s="635" t="str">
        <f>IF(H31="","",VLOOKUP(H31,集計!$C$6:$D$70,2,FALSE))</f>
        <v/>
      </c>
      <c r="I30" s="24"/>
      <c r="K30" s="800"/>
      <c r="L30" s="799"/>
      <c r="M30" s="135"/>
      <c r="N30" s="135"/>
      <c r="O30" s="135"/>
      <c r="P30" s="135"/>
    </row>
    <row r="31" spans="2:16" s="1" customFormat="1" ht="22.5" customHeight="1" thickBot="1" x14ac:dyDescent="0.2">
      <c r="B31" s="133"/>
      <c r="C31" s="794"/>
      <c r="D31" s="787"/>
      <c r="E31" s="636" t="str">
        <f>IF(シート①入力画面!BX52="","",VLOOKUP(シート①入力画面!BX52,集計!$B$6:$C$70,2,FALSE))</f>
        <v/>
      </c>
      <c r="F31" s="636" t="str">
        <f>IF(シート①入力画面!BY52="","",VLOOKUP(シート①入力画面!BY52,集計!$B$6:$C$70,2,FALSE))</f>
        <v/>
      </c>
      <c r="G31" s="636" t="str">
        <f>IF(シート①入力画面!BZ52="","",VLOOKUP(シート①入力画面!BZ52,集計!$B$6:$C$70,2,FALSE))</f>
        <v/>
      </c>
      <c r="H31" s="636" t="str">
        <f>IF(シート①入力画面!CA52="","",VLOOKUP(シート①入力画面!CA52,集計!$B$6:$C$70,2,FALSE))</f>
        <v/>
      </c>
      <c r="I31" s="133"/>
      <c r="K31" s="800"/>
      <c r="L31" s="799"/>
      <c r="M31" s="136"/>
      <c r="N31" s="136"/>
      <c r="O31" s="136"/>
      <c r="P31" s="136"/>
    </row>
    <row r="32" spans="2:16" ht="17.25" customHeight="1" thickTop="1" thickBot="1" x14ac:dyDescent="0.2">
      <c r="B32" s="24"/>
      <c r="C32" s="786" t="str">
        <f>IF(シート①入力画面!P43="","",シート①入力画面!P43)</f>
        <v/>
      </c>
      <c r="D32" s="788" t="str">
        <f>IF(シート①入力画面!Q43="","",シート①入力画面!Q43)</f>
        <v/>
      </c>
      <c r="E32" s="635" t="str">
        <f>IF(E33="","",VLOOKUP(E33,集計!$C$6:$D$70,2,FALSE))</f>
        <v/>
      </c>
      <c r="F32" s="635" t="str">
        <f>IF(F33="","",VLOOKUP(F33,集計!$C$6:$D$70,2,FALSE))</f>
        <v/>
      </c>
      <c r="G32" s="635" t="str">
        <f>IF(G33="","",VLOOKUP(G33,集計!$C$6:$D$70,2,FALSE))</f>
        <v/>
      </c>
      <c r="H32" s="635" t="str">
        <f>IF(H33="","",VLOOKUP(H33,集計!$C$6:$D$70,2,FALSE))</f>
        <v/>
      </c>
      <c r="I32" s="24"/>
      <c r="K32" s="800"/>
      <c r="L32" s="799"/>
      <c r="M32" s="135"/>
      <c r="N32" s="135"/>
      <c r="O32" s="135"/>
      <c r="P32" s="135"/>
    </row>
    <row r="33" spans="2:16" ht="22.5" customHeight="1" thickTop="1" thickBot="1" x14ac:dyDescent="0.2">
      <c r="B33" s="24"/>
      <c r="C33" s="786"/>
      <c r="D33" s="788"/>
      <c r="E33" s="636" t="str">
        <f>IF(シート①入力画面!BX54="","",VLOOKUP(シート①入力画面!BX54,集計!$B$6:$C$70,2,FALSE))</f>
        <v/>
      </c>
      <c r="F33" s="636" t="str">
        <f>IF(シート①入力画面!BY54="","",VLOOKUP(シート①入力画面!BY54,集計!$B$6:$C$70,2,FALSE))</f>
        <v/>
      </c>
      <c r="G33" s="636" t="str">
        <f>IF(シート①入力画面!BZ54="","",VLOOKUP(シート①入力画面!BZ54,集計!$B$6:$C$70,2,FALSE))</f>
        <v/>
      </c>
      <c r="H33" s="636" t="str">
        <f>IF(シート①入力画面!CA54="","",VLOOKUP(シート①入力画面!CA54,集計!$B$6:$C$70,2,FALSE))</f>
        <v/>
      </c>
      <c r="I33" s="24"/>
      <c r="K33" s="800"/>
      <c r="L33" s="799"/>
      <c r="M33" s="136"/>
      <c r="N33" s="136"/>
      <c r="O33" s="136"/>
      <c r="P33" s="136"/>
    </row>
    <row r="34" spans="2:16" ht="17.25" customHeight="1" thickTop="1" thickBot="1" x14ac:dyDescent="0.2">
      <c r="B34" s="24"/>
      <c r="C34" s="785" t="str">
        <f>IF(シート①入力画面!P45="","",シート①入力画面!P45)</f>
        <v/>
      </c>
      <c r="D34" s="787" t="str">
        <f>IF(シート①入力画面!Q45="","",シート①入力画面!Q45)</f>
        <v/>
      </c>
      <c r="E34" s="635" t="str">
        <f>IF(E35="","",VLOOKUP(E35,集計!$C$6:$D$70,2,FALSE))</f>
        <v/>
      </c>
      <c r="F34" s="635" t="str">
        <f>IF(F35="","",VLOOKUP(F35,集計!$C$6:$D$70,2,FALSE))</f>
        <v/>
      </c>
      <c r="G34" s="635" t="str">
        <f>IF(G35="","",VLOOKUP(G35,集計!$C$6:$D$70,2,FALSE))</f>
        <v/>
      </c>
      <c r="H34" s="635" t="str">
        <f>IF(H35="","",VLOOKUP(H35,集計!$C$6:$D$70,2,FALSE))</f>
        <v/>
      </c>
      <c r="I34" s="24"/>
      <c r="K34" s="800"/>
      <c r="L34" s="799"/>
      <c r="M34" s="135"/>
      <c r="N34" s="135"/>
      <c r="O34" s="135"/>
      <c r="P34" s="135"/>
    </row>
    <row r="35" spans="2:16" ht="22.5" customHeight="1" thickTop="1" thickBot="1" x14ac:dyDescent="0.2">
      <c r="B35" s="24"/>
      <c r="C35" s="786"/>
      <c r="D35" s="788"/>
      <c r="E35" s="636" t="str">
        <f>IF(シート①入力画面!BX56="","",VLOOKUP(シート①入力画面!BX56,集計!$B$6:$C$70,2,FALSE))</f>
        <v/>
      </c>
      <c r="F35" s="636" t="str">
        <f>IF(シート①入力画面!BY56="","",VLOOKUP(シート①入力画面!BY56,集計!$B$6:$C$70,2,FALSE))</f>
        <v/>
      </c>
      <c r="G35" s="636" t="str">
        <f>IF(シート①入力画面!BZ56="","",VLOOKUP(シート①入力画面!BZ56,集計!$B$6:$C$70,2,FALSE))</f>
        <v/>
      </c>
      <c r="H35" s="636" t="str">
        <f>IF(シート①入力画面!CA56="","",VLOOKUP(シート①入力画面!CA56,集計!$B$6:$C$70,2,FALSE))</f>
        <v/>
      </c>
      <c r="I35" s="24"/>
      <c r="K35" s="800"/>
      <c r="L35" s="799"/>
      <c r="M35" s="136"/>
      <c r="N35" s="136"/>
      <c r="O35" s="136"/>
      <c r="P35" s="136"/>
    </row>
    <row r="36" spans="2:16" ht="17.25" customHeight="1" thickTop="1" thickBot="1" x14ac:dyDescent="0.2">
      <c r="B36" s="24"/>
      <c r="C36" s="785" t="str">
        <f>IF(シート①入力画面!P47="","",シート①入力画面!P47)</f>
        <v/>
      </c>
      <c r="D36" s="787" t="str">
        <f>IF(シート①入力画面!Q47="","",シート①入力画面!Q47)</f>
        <v/>
      </c>
      <c r="E36" s="635" t="str">
        <f>IF(E37="","",VLOOKUP(E37,集計!$C$6:$D$70,2,FALSE))</f>
        <v/>
      </c>
      <c r="F36" s="635" t="str">
        <f>IF(F37="","",VLOOKUP(F37,集計!$C$6:$D$70,2,FALSE))</f>
        <v/>
      </c>
      <c r="G36" s="635" t="str">
        <f>IF(G37="","",VLOOKUP(G37,集計!$C$6:$D$70,2,FALSE))</f>
        <v/>
      </c>
      <c r="H36" s="635" t="str">
        <f>IF(H37="","",VLOOKUP(H37,集計!$C$6:$D$70,2,FALSE))</f>
        <v/>
      </c>
      <c r="I36" s="24"/>
    </row>
    <row r="37" spans="2:16" ht="22.5" customHeight="1" thickTop="1" thickBot="1" x14ac:dyDescent="0.2">
      <c r="C37" s="786"/>
      <c r="D37" s="788"/>
      <c r="E37" s="636" t="str">
        <f>IF(シート①入力画面!BX58="","",VLOOKUP(シート①入力画面!BX58,集計!$B$6:$C$70,2,FALSE))</f>
        <v/>
      </c>
      <c r="F37" s="636" t="str">
        <f>IF(シート①入力画面!BY58="","",VLOOKUP(シート①入力画面!BY58,集計!$B$6:$C$70,2,FALSE))</f>
        <v/>
      </c>
      <c r="G37" s="636" t="str">
        <f>IF(シート①入力画面!BZ58="","",VLOOKUP(シート①入力画面!BZ58,集計!$B$6:$C$70,2,FALSE))</f>
        <v/>
      </c>
      <c r="H37" s="636" t="str">
        <f>IF(シート①入力画面!CA58="","",VLOOKUP(シート①入力画面!CA58,集計!$B$6:$C$70,2,FALSE))</f>
        <v/>
      </c>
    </row>
    <row r="38" spans="2:16" ht="17.25" customHeight="1" thickTop="1" thickBot="1" x14ac:dyDescent="0.2">
      <c r="C38" s="785" t="str">
        <f>IF(シート①入力画面!P49="","",シート①入力画面!P49)</f>
        <v/>
      </c>
      <c r="D38" s="787" t="str">
        <f>IF(シート①入力画面!Q49="","",シート①入力画面!Q49)</f>
        <v/>
      </c>
      <c r="E38" s="635" t="str">
        <f>IF(E39="","",VLOOKUP(E39,集計!$C$6:$D$70,2,FALSE))</f>
        <v/>
      </c>
      <c r="F38" s="635" t="str">
        <f>IF(F39="","",VLOOKUP(F39,集計!$C$6:$D$70,2,FALSE))</f>
        <v/>
      </c>
      <c r="G38" s="635" t="str">
        <f>IF(G39="","",VLOOKUP(G39,集計!$C$6:$D$70,2,FALSE))</f>
        <v/>
      </c>
      <c r="H38" s="635" t="str">
        <f>IF(H39="","",VLOOKUP(H39,集計!$C$6:$D$70,2,FALSE))</f>
        <v/>
      </c>
    </row>
    <row r="39" spans="2:16" ht="22.5" customHeight="1" thickTop="1" thickBot="1" x14ac:dyDescent="0.2">
      <c r="C39" s="786"/>
      <c r="D39" s="788"/>
      <c r="E39" s="636" t="str">
        <f>IF(シート①入力画面!BX60="","",VLOOKUP(シート①入力画面!BX60,集計!$B$6:$C$70,2,FALSE))</f>
        <v/>
      </c>
      <c r="F39" s="636" t="str">
        <f>IF(シート①入力画面!BY60="","",VLOOKUP(シート①入力画面!BY60,集計!$B$6:$C$70,2,FALSE))</f>
        <v/>
      </c>
      <c r="G39" s="636" t="str">
        <f>IF(シート①入力画面!BZ60="","",VLOOKUP(シート①入力画面!BZ60,集計!$B$6:$C$70,2,FALSE))</f>
        <v/>
      </c>
      <c r="H39" s="636" t="str">
        <f>IF(シート①入力画面!CA60="","",VLOOKUP(シート①入力画面!CA60,集計!$B$6:$C$70,2,FALSE))</f>
        <v/>
      </c>
    </row>
    <row r="40" spans="2:16" ht="15" thickTop="1" x14ac:dyDescent="0.15">
      <c r="B40" s="25"/>
      <c r="E40" s="136"/>
      <c r="F40" s="136"/>
      <c r="G40" s="136"/>
      <c r="H40" s="136"/>
    </row>
    <row r="41" spans="2:16" ht="14.25" x14ac:dyDescent="0.15">
      <c r="B41" s="25"/>
      <c r="E41" s="136"/>
      <c r="F41" s="132"/>
      <c r="G41" s="798"/>
      <c r="H41" s="798"/>
    </row>
    <row r="42" spans="2:16" ht="14.25" x14ac:dyDescent="0.15">
      <c r="C42" s="103"/>
      <c r="E42" s="136"/>
      <c r="F42" s="132"/>
      <c r="G42" s="798"/>
      <c r="H42" s="798"/>
    </row>
    <row r="43" spans="2:16" ht="14.25" x14ac:dyDescent="0.15">
      <c r="E43" s="136"/>
      <c r="F43" s="132"/>
      <c r="G43" s="798"/>
      <c r="H43" s="798"/>
    </row>
    <row r="45" spans="2:16" ht="17.25" customHeight="1" x14ac:dyDescent="0.15">
      <c r="C45" s="149"/>
      <c r="D45" s="149"/>
      <c r="E45" s="149"/>
      <c r="F45" s="149"/>
      <c r="G45" s="149"/>
      <c r="H45" s="149"/>
    </row>
    <row r="46" spans="2:16" ht="17.25" customHeight="1" x14ac:dyDescent="0.15">
      <c r="C46" s="796"/>
      <c r="D46" s="797"/>
      <c r="E46" s="150"/>
      <c r="F46" s="150"/>
      <c r="G46" s="150"/>
      <c r="H46" s="150"/>
    </row>
    <row r="47" spans="2:16" ht="22.5" customHeight="1" x14ac:dyDescent="0.15">
      <c r="C47" s="796"/>
      <c r="D47" s="797"/>
      <c r="E47" s="151"/>
      <c r="F47" s="151"/>
      <c r="G47" s="151"/>
      <c r="H47" s="151"/>
    </row>
    <row r="48" spans="2:16" ht="17.25" customHeight="1" x14ac:dyDescent="0.15">
      <c r="C48" s="796"/>
      <c r="D48" s="797"/>
      <c r="E48" s="150"/>
      <c r="F48" s="150"/>
      <c r="G48" s="150"/>
      <c r="H48" s="150"/>
    </row>
    <row r="49" spans="3:8" ht="22.5" customHeight="1" x14ac:dyDescent="0.15">
      <c r="C49" s="796"/>
      <c r="D49" s="797"/>
      <c r="E49" s="151"/>
      <c r="F49" s="151"/>
      <c r="G49" s="151"/>
      <c r="H49" s="151"/>
    </row>
    <row r="50" spans="3:8" ht="17.25" customHeight="1" x14ac:dyDescent="0.15">
      <c r="C50" s="796"/>
      <c r="D50" s="797"/>
      <c r="E50" s="150"/>
      <c r="F50" s="150"/>
      <c r="G50" s="150"/>
      <c r="H50" s="150"/>
    </row>
    <row r="51" spans="3:8" ht="22.5" customHeight="1" x14ac:dyDescent="0.15">
      <c r="C51" s="796"/>
      <c r="D51" s="797"/>
      <c r="E51" s="151"/>
      <c r="F51" s="151"/>
      <c r="G51" s="151"/>
      <c r="H51" s="151"/>
    </row>
    <row r="52" spans="3:8" ht="17.25" customHeight="1" x14ac:dyDescent="0.15">
      <c r="C52" s="796"/>
      <c r="D52" s="797"/>
      <c r="E52" s="150"/>
      <c r="F52" s="150"/>
      <c r="G52" s="150"/>
      <c r="H52" s="150"/>
    </row>
    <row r="53" spans="3:8" ht="22.5" customHeight="1" x14ac:dyDescent="0.15">
      <c r="C53" s="796"/>
      <c r="D53" s="797"/>
      <c r="E53" s="151"/>
      <c r="F53" s="151"/>
      <c r="G53" s="151"/>
      <c r="H53" s="151"/>
    </row>
    <row r="54" spans="3:8" ht="17.25" customHeight="1" x14ac:dyDescent="0.15">
      <c r="C54" s="796"/>
      <c r="D54" s="797"/>
      <c r="E54" s="150"/>
      <c r="F54" s="150"/>
      <c r="G54" s="150"/>
      <c r="H54" s="150"/>
    </row>
    <row r="55" spans="3:8" ht="22.5" customHeight="1" x14ac:dyDescent="0.15">
      <c r="C55" s="796"/>
      <c r="D55" s="797"/>
      <c r="E55" s="151"/>
      <c r="F55" s="151"/>
      <c r="G55" s="151"/>
      <c r="H55" s="151"/>
    </row>
    <row r="56" spans="3:8" ht="17.25" customHeight="1" x14ac:dyDescent="0.15">
      <c r="C56" s="796"/>
      <c r="D56" s="797"/>
      <c r="E56" s="150"/>
      <c r="F56" s="150"/>
      <c r="G56" s="150"/>
      <c r="H56" s="150"/>
    </row>
    <row r="57" spans="3:8" ht="22.5" customHeight="1" x14ac:dyDescent="0.15">
      <c r="C57" s="796"/>
      <c r="D57" s="797"/>
      <c r="E57" s="151"/>
      <c r="F57" s="151"/>
      <c r="G57" s="151"/>
      <c r="H57" s="151"/>
    </row>
    <row r="58" spans="3:8" ht="17.25" customHeight="1" x14ac:dyDescent="0.15">
      <c r="C58" s="796"/>
      <c r="D58" s="797"/>
      <c r="E58" s="150"/>
      <c r="F58" s="150"/>
      <c r="G58" s="150"/>
      <c r="H58" s="150"/>
    </row>
    <row r="59" spans="3:8" ht="22.5" customHeight="1" x14ac:dyDescent="0.15">
      <c r="C59" s="796"/>
      <c r="D59" s="797"/>
      <c r="E59" s="151"/>
      <c r="F59" s="151"/>
      <c r="G59" s="151"/>
      <c r="H59" s="151"/>
    </row>
    <row r="60" spans="3:8" ht="17.25" customHeight="1" x14ac:dyDescent="0.15">
      <c r="C60" s="796"/>
      <c r="D60" s="797"/>
      <c r="E60" s="150"/>
      <c r="F60" s="150"/>
      <c r="G60" s="150"/>
      <c r="H60" s="150"/>
    </row>
    <row r="61" spans="3:8" ht="22.5" customHeight="1" x14ac:dyDescent="0.15">
      <c r="C61" s="796"/>
      <c r="D61" s="797"/>
      <c r="E61" s="151"/>
      <c r="F61" s="151"/>
      <c r="G61" s="151"/>
      <c r="H61" s="151"/>
    </row>
    <row r="62" spans="3:8" x14ac:dyDescent="0.15">
      <c r="C62" s="796"/>
      <c r="D62" s="797"/>
      <c r="E62" s="150"/>
      <c r="F62" s="150"/>
      <c r="G62" s="150"/>
      <c r="H62" s="150"/>
    </row>
    <row r="63" spans="3:8" ht="22.5" customHeight="1" x14ac:dyDescent="0.15">
      <c r="C63" s="796"/>
      <c r="D63" s="797"/>
      <c r="E63" s="151"/>
      <c r="F63" s="151"/>
      <c r="G63" s="151"/>
      <c r="H63" s="151"/>
    </row>
    <row r="64" spans="3:8" x14ac:dyDescent="0.15">
      <c r="C64" s="796"/>
      <c r="D64" s="797"/>
      <c r="E64" s="150"/>
      <c r="F64" s="150"/>
      <c r="G64" s="150"/>
      <c r="H64" s="150"/>
    </row>
    <row r="65" spans="3:8" ht="22.5" customHeight="1" x14ac:dyDescent="0.15">
      <c r="C65" s="796"/>
      <c r="D65" s="797"/>
      <c r="E65" s="151"/>
      <c r="F65" s="151"/>
      <c r="G65" s="151"/>
      <c r="H65" s="151"/>
    </row>
    <row r="66" spans="3:8" ht="14.25" x14ac:dyDescent="0.15">
      <c r="C66" s="23"/>
      <c r="D66" s="23"/>
      <c r="E66" s="23"/>
      <c r="F66" s="23"/>
      <c r="G66" s="152"/>
      <c r="H66" s="23"/>
    </row>
  </sheetData>
  <sheetProtection sheet="1" objects="1" scenarios="1" formatCells="0" formatColumns="0" formatRows="0" deleteColumns="0" deleteRows="0"/>
  <mergeCells count="73">
    <mergeCell ref="D20:D21"/>
    <mergeCell ref="C28:C29"/>
    <mergeCell ref="D28:D29"/>
    <mergeCell ref="C30:C31"/>
    <mergeCell ref="D30:D31"/>
    <mergeCell ref="C22:C23"/>
    <mergeCell ref="D22:D23"/>
    <mergeCell ref="C24:C25"/>
    <mergeCell ref="D24:D25"/>
    <mergeCell ref="C26:C27"/>
    <mergeCell ref="D26:D27"/>
    <mergeCell ref="K18:K19"/>
    <mergeCell ref="L18:L19"/>
    <mergeCell ref="K20:K21"/>
    <mergeCell ref="L20:L21"/>
    <mergeCell ref="K22:K23"/>
    <mergeCell ref="L22:L23"/>
    <mergeCell ref="O11:P11"/>
    <mergeCell ref="O12:P12"/>
    <mergeCell ref="O13:P13"/>
    <mergeCell ref="K16:K17"/>
    <mergeCell ref="L16:L17"/>
    <mergeCell ref="L24:L25"/>
    <mergeCell ref="K26:K27"/>
    <mergeCell ref="L26:L27"/>
    <mergeCell ref="K34:K35"/>
    <mergeCell ref="L34:L35"/>
    <mergeCell ref="K28:K29"/>
    <mergeCell ref="L28:L29"/>
    <mergeCell ref="K30:K31"/>
    <mergeCell ref="L30:L31"/>
    <mergeCell ref="K32:K33"/>
    <mergeCell ref="L32:L33"/>
    <mergeCell ref="K24:K25"/>
    <mergeCell ref="D56:D57"/>
    <mergeCell ref="C46:C47"/>
    <mergeCell ref="D46:D47"/>
    <mergeCell ref="C48:C49"/>
    <mergeCell ref="D48:D49"/>
    <mergeCell ref="C50:C51"/>
    <mergeCell ref="D50:D51"/>
    <mergeCell ref="C64:C65"/>
    <mergeCell ref="D64:D65"/>
    <mergeCell ref="G41:H41"/>
    <mergeCell ref="G42:H42"/>
    <mergeCell ref="G43:H43"/>
    <mergeCell ref="C58:C59"/>
    <mergeCell ref="D58:D59"/>
    <mergeCell ref="C60:C61"/>
    <mergeCell ref="D60:D61"/>
    <mergeCell ref="C62:C63"/>
    <mergeCell ref="D62:D63"/>
    <mergeCell ref="C52:C53"/>
    <mergeCell ref="D52:D53"/>
    <mergeCell ref="C54:C55"/>
    <mergeCell ref="D54:D55"/>
    <mergeCell ref="C56:C57"/>
    <mergeCell ref="C36:C37"/>
    <mergeCell ref="C38:C39"/>
    <mergeCell ref="D36:D37"/>
    <mergeCell ref="D38:D39"/>
    <mergeCell ref="G11:H11"/>
    <mergeCell ref="G12:H12"/>
    <mergeCell ref="G13:H13"/>
    <mergeCell ref="C32:C33"/>
    <mergeCell ref="C34:C35"/>
    <mergeCell ref="D32:D33"/>
    <mergeCell ref="D34:D35"/>
    <mergeCell ref="C16:C17"/>
    <mergeCell ref="D16:D17"/>
    <mergeCell ref="C18:C19"/>
    <mergeCell ref="D18:D19"/>
    <mergeCell ref="C20:C21"/>
  </mergeCells>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C1:Q90"/>
  <sheetViews>
    <sheetView zoomScale="95" zoomScaleNormal="95" workbookViewId="0">
      <selection activeCell="C25" sqref="C25"/>
    </sheetView>
  </sheetViews>
  <sheetFormatPr defaultColWidth="9" defaultRowHeight="13.5" x14ac:dyDescent="0.15"/>
  <cols>
    <col min="3" max="3" width="3" customWidth="1"/>
    <col min="4" max="4" width="24.625" customWidth="1"/>
    <col min="5" max="5" width="10.25" customWidth="1"/>
    <col min="6" max="9" width="21.125" customWidth="1"/>
    <col min="10" max="10" width="2.5" customWidth="1"/>
  </cols>
  <sheetData>
    <row r="1" spans="3:12" ht="19.5" customHeight="1" x14ac:dyDescent="0.15">
      <c r="C1" s="25" t="s">
        <v>304</v>
      </c>
    </row>
    <row r="2" spans="3:12" x14ac:dyDescent="0.15">
      <c r="D2" t="s">
        <v>65</v>
      </c>
    </row>
    <row r="3" spans="3:12" x14ac:dyDescent="0.15">
      <c r="D3" t="s">
        <v>66</v>
      </c>
    </row>
    <row r="4" spans="3:12" x14ac:dyDescent="0.15">
      <c r="D4" t="s">
        <v>725</v>
      </c>
    </row>
    <row r="6" spans="3:12" ht="18" customHeight="1" x14ac:dyDescent="0.15">
      <c r="C6" s="25"/>
      <c r="D6" s="25" t="s">
        <v>507</v>
      </c>
    </row>
    <row r="8" spans="3:12" ht="20.25" customHeight="1" thickBot="1" x14ac:dyDescent="0.2">
      <c r="D8" s="100" t="s">
        <v>42</v>
      </c>
      <c r="E8" s="26">
        <f>シート①入力画面!Q20</f>
        <v>0</v>
      </c>
      <c r="F8" s="26" t="s">
        <v>263</v>
      </c>
      <c r="G8" s="26"/>
      <c r="H8" s="23"/>
      <c r="I8" s="23"/>
      <c r="K8" t="s">
        <v>620</v>
      </c>
    </row>
    <row r="9" spans="3:12" ht="14.25" thickBot="1" x14ac:dyDescent="0.2">
      <c r="D9" s="23"/>
      <c r="E9" s="23"/>
      <c r="F9" s="23"/>
      <c r="G9" s="23"/>
      <c r="H9" s="102"/>
      <c r="I9" s="23"/>
      <c r="K9" s="668" t="s">
        <v>617</v>
      </c>
      <c r="L9" s="673" t="e">
        <f>シート①入力画面!CU81</f>
        <v>#VALUE!</v>
      </c>
    </row>
    <row r="10" spans="3:12" ht="15" customHeight="1" x14ac:dyDescent="0.15">
      <c r="D10" s="26"/>
      <c r="E10" s="23"/>
      <c r="F10" s="23"/>
      <c r="G10" s="388" t="s">
        <v>44</v>
      </c>
      <c r="H10" s="806" t="str">
        <f>IF(シート①入力画面!Q21="","",シート①入力画面!Q21)</f>
        <v/>
      </c>
      <c r="I10" s="807"/>
      <c r="J10" s="19"/>
      <c r="K10" s="669" t="s">
        <v>618</v>
      </c>
      <c r="L10" s="674" t="str">
        <f>シート①入力画面!CU82</f>
        <v>-</v>
      </c>
    </row>
    <row r="11" spans="3:12" ht="17.25" customHeight="1" x14ac:dyDescent="0.15">
      <c r="D11" s="555" t="s">
        <v>418</v>
      </c>
      <c r="E11" s="556" t="str">
        <f>シート①入力画面!$CP$66</f>
        <v>0 名</v>
      </c>
      <c r="F11" s="23"/>
      <c r="G11" s="389" t="s">
        <v>49</v>
      </c>
      <c r="H11" s="808" t="str">
        <f>IF(シート①入力画面!Q22="","",シート①入力画面!Q22)</f>
        <v/>
      </c>
      <c r="I11" s="809"/>
      <c r="J11" s="18"/>
      <c r="K11" s="670" t="s">
        <v>616</v>
      </c>
      <c r="L11" s="675" t="str">
        <f>シート①入力画面!CU83</f>
        <v/>
      </c>
    </row>
    <row r="12" spans="3:12" ht="17.25" customHeight="1" thickBot="1" x14ac:dyDescent="0.2">
      <c r="D12" s="555" t="s">
        <v>419</v>
      </c>
      <c r="E12" s="556" t="str">
        <f>シート①入力画面!$CP$67</f>
        <v>0 名</v>
      </c>
      <c r="F12" s="28"/>
      <c r="G12" s="390" t="s">
        <v>46</v>
      </c>
      <c r="H12" s="810" t="str">
        <f>IF(シート①入力画面!Q23="","",シート①入力画面!Q23)</f>
        <v xml:space="preserve"> --</v>
      </c>
      <c r="I12" s="811"/>
      <c r="J12" s="18"/>
      <c r="K12" s="678"/>
      <c r="L12" s="676" t="str">
        <f>シート①入力画面!CU84</f>
        <v/>
      </c>
    </row>
    <row r="13" spans="3:12" ht="18" thickBot="1" x14ac:dyDescent="0.2">
      <c r="C13" s="24"/>
      <c r="D13" s="26"/>
      <c r="E13" s="23"/>
      <c r="F13" s="28"/>
      <c r="G13" s="23"/>
      <c r="H13" s="23"/>
      <c r="I13" s="23"/>
      <c r="K13" s="679"/>
      <c r="L13" s="677" t="str">
        <f>シート①入力画面!CU85</f>
        <v/>
      </c>
    </row>
    <row r="14" spans="3:12" ht="14.25" thickBot="1" x14ac:dyDescent="0.2">
      <c r="C14" s="24"/>
      <c r="D14" s="302" t="s">
        <v>50</v>
      </c>
      <c r="E14" s="303" t="s">
        <v>51</v>
      </c>
      <c r="F14" s="29"/>
      <c r="G14" s="391" t="s">
        <v>43</v>
      </c>
      <c r="H14" s="29"/>
      <c r="I14" s="30"/>
    </row>
    <row r="15" spans="3:12" ht="22.15" customHeight="1" thickBot="1" x14ac:dyDescent="0.2">
      <c r="C15" s="24"/>
      <c r="D15" s="304"/>
      <c r="E15" s="96"/>
      <c r="F15" s="23"/>
      <c r="G15" s="23"/>
      <c r="H15" s="23"/>
      <c r="I15" s="23"/>
    </row>
    <row r="16" spans="3:12" ht="33" customHeight="1" x14ac:dyDescent="0.15">
      <c r="C16" s="24"/>
      <c r="D16" s="802" t="str">
        <f>IF(シート①入力画面!P27="","",シート①入力画面!P27)</f>
        <v/>
      </c>
      <c r="E16" s="804" t="str">
        <f>IF(シート①入力画面!Q27="","",シート①入力画面!Q27)</f>
        <v/>
      </c>
      <c r="F16" s="392" t="str">
        <f>IF(シート①入力画面!BX38="","",シート①入力画面!BX38)</f>
        <v/>
      </c>
      <c r="G16" s="392" t="str">
        <f>IF(シート①入力画面!BY38="","",シート①入力画面!BY38)</f>
        <v/>
      </c>
      <c r="H16" s="392" t="str">
        <f>IF(シート①入力画面!BZ38="","",シート①入力画面!BZ38)</f>
        <v/>
      </c>
      <c r="I16" s="393" t="str">
        <f>IF(シート①入力画面!CA38="","",シート①入力画面!CA38)</f>
        <v/>
      </c>
      <c r="J16" s="18"/>
    </row>
    <row r="17" spans="3:17" ht="33" customHeight="1" thickBot="1" x14ac:dyDescent="0.2">
      <c r="C17" s="24"/>
      <c r="D17" s="803"/>
      <c r="E17" s="805"/>
      <c r="F17" s="509"/>
      <c r="G17" s="510"/>
      <c r="H17" s="510"/>
      <c r="I17" s="511"/>
      <c r="J17" s="20"/>
      <c r="K17" s="519" t="s">
        <v>467</v>
      </c>
      <c r="L17" s="520"/>
      <c r="M17" s="24"/>
      <c r="N17" s="24"/>
      <c r="O17" s="24"/>
      <c r="P17" s="24"/>
      <c r="Q17" s="24"/>
    </row>
    <row r="18" spans="3:17" ht="33" customHeight="1" thickBot="1" x14ac:dyDescent="0.2">
      <c r="C18" s="24"/>
      <c r="D18" s="305"/>
      <c r="E18" s="306"/>
      <c r="F18" s="394"/>
      <c r="G18" s="394"/>
      <c r="H18" s="394"/>
      <c r="I18" s="394"/>
      <c r="J18" s="20"/>
      <c r="K18" s="519"/>
      <c r="L18" s="520" t="s">
        <v>551</v>
      </c>
      <c r="M18" s="24"/>
      <c r="N18" s="24"/>
      <c r="O18" s="24"/>
      <c r="P18" s="24"/>
      <c r="Q18" s="24"/>
    </row>
    <row r="19" spans="3:17" ht="33" customHeight="1" x14ac:dyDescent="0.15">
      <c r="C19" s="24"/>
      <c r="D19" s="802" t="str">
        <f>IF(シート①入力画面!P29="","",シート①入力画面!P29)</f>
        <v/>
      </c>
      <c r="E19" s="804" t="str">
        <f>IF(シート①入力画面!Q29="","",シート①入力画面!Q29)</f>
        <v/>
      </c>
      <c r="F19" s="392" t="str">
        <f>IF(シート①入力画面!BX40="","",シート①入力画面!BX40)</f>
        <v/>
      </c>
      <c r="G19" s="392" t="str">
        <f>IF(シート①入力画面!BY40="","",シート①入力画面!BY40)</f>
        <v/>
      </c>
      <c r="H19" s="392" t="str">
        <f>IF(シート①入力画面!BZ40="","",シート①入力画面!BZ40)</f>
        <v/>
      </c>
      <c r="I19" s="393" t="str">
        <f>IF(シート①入力画面!CA40="","",シート①入力画面!CA40)</f>
        <v/>
      </c>
      <c r="J19" s="21"/>
      <c r="K19" s="520"/>
      <c r="L19" t="s">
        <v>552</v>
      </c>
      <c r="M19" s="24"/>
      <c r="N19" s="24"/>
      <c r="O19" s="24"/>
      <c r="P19" s="24"/>
      <c r="Q19" s="24"/>
    </row>
    <row r="20" spans="3:17" ht="33" customHeight="1" thickBot="1" x14ac:dyDescent="0.2">
      <c r="C20" s="24"/>
      <c r="D20" s="803"/>
      <c r="E20" s="805"/>
      <c r="F20" s="509"/>
      <c r="G20" s="510"/>
      <c r="H20" s="510"/>
      <c r="I20" s="512"/>
      <c r="J20" s="20"/>
      <c r="K20" s="24"/>
      <c r="L20" s="520" t="s">
        <v>553</v>
      </c>
      <c r="M20" s="24"/>
      <c r="N20" s="24"/>
      <c r="O20" s="24"/>
      <c r="P20" s="24"/>
      <c r="Q20" s="24"/>
    </row>
    <row r="21" spans="3:17" ht="33" customHeight="1" thickBot="1" x14ac:dyDescent="0.2">
      <c r="C21" s="24"/>
      <c r="D21" s="305"/>
      <c r="E21" s="306"/>
      <c r="F21" s="394"/>
      <c r="G21" s="394"/>
      <c r="H21" s="394"/>
      <c r="I21" s="394"/>
      <c r="J21" s="20"/>
    </row>
    <row r="22" spans="3:17" ht="33" customHeight="1" x14ac:dyDescent="0.15">
      <c r="C22" s="24"/>
      <c r="D22" s="802" t="str">
        <f>IF(シート①入力画面!P31="","",シート①入力画面!P31)</f>
        <v/>
      </c>
      <c r="E22" s="804" t="str">
        <f>IF(シート①入力画面!Q31="","",シート①入力画面!Q31)</f>
        <v/>
      </c>
      <c r="F22" s="392" t="str">
        <f>IF(シート①入力画面!BX42="","",シート①入力画面!BX42)</f>
        <v/>
      </c>
      <c r="G22" s="392" t="str">
        <f>IF(シート①入力画面!BY42="","",シート①入力画面!BY42)</f>
        <v/>
      </c>
      <c r="H22" s="392" t="str">
        <f>IF(シート①入力画面!BZ42="","",シート①入力画面!BZ42)</f>
        <v/>
      </c>
      <c r="I22" s="393" t="str">
        <f>IF(シート①入力画面!CA42="","",シート①入力画面!CA42)</f>
        <v/>
      </c>
      <c r="J22" s="21"/>
      <c r="K22" s="521" t="str">
        <f>IF(シート①入力画面!$CX$6&lt;2,"",IF(シート①入力画面!$CP$6=3,"スコアを「ｼｰﾄ①」、「ｼｰﾄ④」又は[ｼｰﾄ⑤]の一つのみに記入して下さい",""))</f>
        <v/>
      </c>
    </row>
    <row r="23" spans="3:17" ht="33" customHeight="1" thickBot="1" x14ac:dyDescent="0.2">
      <c r="C23" s="24"/>
      <c r="D23" s="803"/>
      <c r="E23" s="805"/>
      <c r="F23" s="509"/>
      <c r="G23" s="510"/>
      <c r="H23" s="510"/>
      <c r="I23" s="512"/>
      <c r="J23" s="20"/>
    </row>
    <row r="24" spans="3:17" ht="33" customHeight="1" thickBot="1" x14ac:dyDescent="0.2">
      <c r="C24" s="24"/>
      <c r="D24" s="305"/>
      <c r="E24" s="306"/>
      <c r="F24" s="394"/>
      <c r="G24" s="394"/>
      <c r="H24" s="394"/>
      <c r="I24" s="394"/>
      <c r="J24" s="20"/>
    </row>
    <row r="25" spans="3:17" ht="33" customHeight="1" x14ac:dyDescent="0.15">
      <c r="C25" s="24"/>
      <c r="D25" s="802" t="str">
        <f>IF(シート①入力画面!P33="","",シート①入力画面!P33)</f>
        <v/>
      </c>
      <c r="E25" s="804" t="str">
        <f>IF(シート①入力画面!Q33="","",シート①入力画面!Q33)</f>
        <v/>
      </c>
      <c r="F25" s="392" t="str">
        <f>IF(シート①入力画面!BX44="","",シート①入力画面!BX44)</f>
        <v/>
      </c>
      <c r="G25" s="392" t="str">
        <f>IF(シート①入力画面!BY44="","",シート①入力画面!BY44)</f>
        <v/>
      </c>
      <c r="H25" s="392" t="str">
        <f>IF(シート①入力画面!BZ44="","",シート①入力画面!BZ44)</f>
        <v/>
      </c>
      <c r="I25" s="393" t="str">
        <f>IF(シート①入力画面!CA44="","",シート①入力画面!CA44)</f>
        <v/>
      </c>
      <c r="J25" s="21"/>
    </row>
    <row r="26" spans="3:17" ht="33" customHeight="1" thickBot="1" x14ac:dyDescent="0.2">
      <c r="C26" s="24"/>
      <c r="D26" s="803"/>
      <c r="E26" s="805"/>
      <c r="F26" s="509"/>
      <c r="G26" s="510"/>
      <c r="H26" s="510"/>
      <c r="I26" s="512"/>
      <c r="J26" s="20"/>
      <c r="M26" s="396"/>
    </row>
    <row r="27" spans="3:17" ht="33" customHeight="1" thickBot="1" x14ac:dyDescent="0.2">
      <c r="C27" s="24"/>
      <c r="D27" s="305"/>
      <c r="E27" s="306"/>
      <c r="F27" s="394"/>
      <c r="G27" s="394"/>
      <c r="H27" s="394"/>
      <c r="I27" s="394"/>
      <c r="J27" s="20"/>
    </row>
    <row r="28" spans="3:17" ht="33" customHeight="1" x14ac:dyDescent="0.15">
      <c r="C28" s="24"/>
      <c r="D28" s="802" t="str">
        <f>IF(シート①入力画面!P35="","",シート①入力画面!P35)</f>
        <v/>
      </c>
      <c r="E28" s="804" t="str">
        <f>IF(シート①入力画面!Q35="","",シート①入力画面!Q35)</f>
        <v/>
      </c>
      <c r="F28" s="392" t="str">
        <f>IF(シート①入力画面!BX46="","",シート①入力画面!BX46)</f>
        <v/>
      </c>
      <c r="G28" s="392" t="str">
        <f>IF(シート①入力画面!BY46="","",シート①入力画面!BY46)</f>
        <v/>
      </c>
      <c r="H28" s="392" t="str">
        <f>IF(シート①入力画面!BZ46="","",シート①入力画面!BZ46)</f>
        <v/>
      </c>
      <c r="I28" s="393" t="str">
        <f>IF(シート①入力画面!CA46="","",シート①入力画面!CA46)</f>
        <v/>
      </c>
      <c r="J28" s="21"/>
    </row>
    <row r="29" spans="3:17" ht="33" customHeight="1" thickBot="1" x14ac:dyDescent="0.2">
      <c r="C29" s="24"/>
      <c r="D29" s="803"/>
      <c r="E29" s="805"/>
      <c r="F29" s="509"/>
      <c r="G29" s="510"/>
      <c r="H29" s="510"/>
      <c r="I29" s="512"/>
      <c r="J29" s="20"/>
    </row>
    <row r="30" spans="3:17" ht="33" customHeight="1" thickBot="1" x14ac:dyDescent="0.2">
      <c r="C30" s="24"/>
      <c r="D30" s="305"/>
      <c r="E30" s="306"/>
      <c r="F30" s="394"/>
      <c r="G30" s="394"/>
      <c r="H30" s="394"/>
      <c r="I30" s="394"/>
      <c r="J30" s="20"/>
    </row>
    <row r="31" spans="3:17" ht="33" customHeight="1" x14ac:dyDescent="0.15">
      <c r="C31" s="24"/>
      <c r="D31" s="812" t="str">
        <f>IF(シート①入力画面!P37="","",シート①入力画面!P37)</f>
        <v/>
      </c>
      <c r="E31" s="804" t="str">
        <f>IF(シート①入力画面!Q37="","",シート①入力画面!Q37)</f>
        <v/>
      </c>
      <c r="F31" s="392" t="str">
        <f>IF(シート①入力画面!BX48="","",シート①入力画面!BX48)</f>
        <v/>
      </c>
      <c r="G31" s="392" t="str">
        <f>IF(シート①入力画面!BY48="","",シート①入力画面!BY48)</f>
        <v/>
      </c>
      <c r="H31" s="392" t="str">
        <f>IF(シート①入力画面!BZ48="","",シート①入力画面!BZ48)</f>
        <v/>
      </c>
      <c r="I31" s="393" t="str">
        <f>IF(シート①入力画面!CA48="","",シート①入力画面!CA48)</f>
        <v/>
      </c>
      <c r="J31" s="18"/>
    </row>
    <row r="32" spans="3:17" ht="33" customHeight="1" thickBot="1" x14ac:dyDescent="0.2">
      <c r="C32" s="24"/>
      <c r="D32" s="813"/>
      <c r="E32" s="805"/>
      <c r="F32" s="509"/>
      <c r="G32" s="510"/>
      <c r="H32" s="510"/>
      <c r="I32" s="511"/>
      <c r="J32" s="20"/>
    </row>
    <row r="33" spans="3:14" ht="33" customHeight="1" thickBot="1" x14ac:dyDescent="0.2">
      <c r="C33" s="24"/>
      <c r="D33" s="305"/>
      <c r="E33" s="306"/>
      <c r="F33" s="394"/>
      <c r="G33" s="394"/>
      <c r="H33" s="394"/>
      <c r="I33" s="394"/>
      <c r="J33" s="20"/>
    </row>
    <row r="34" spans="3:14" ht="33" customHeight="1" x14ac:dyDescent="0.15">
      <c r="C34" s="24"/>
      <c r="D34" s="814" t="str">
        <f>IF(シート①入力画面!P39="","",シート①入力画面!P39)</f>
        <v/>
      </c>
      <c r="E34" s="804" t="str">
        <f>IF(シート①入力画面!Q39="","",シート①入力画面!Q39)</f>
        <v/>
      </c>
      <c r="F34" s="392" t="str">
        <f>IF(シート①入力画面!BX50="","",シート①入力画面!BX50)</f>
        <v/>
      </c>
      <c r="G34" s="392" t="str">
        <f>IF(シート①入力画面!BY50="","",シート①入力画面!BY50)</f>
        <v/>
      </c>
      <c r="H34" s="392" t="str">
        <f>IF(シート①入力画面!BZ50="","",シート①入力画面!BZ50)</f>
        <v/>
      </c>
      <c r="I34" s="393" t="str">
        <f>IF(シート①入力画面!CA50="","",シート①入力画面!CA50)</f>
        <v/>
      </c>
      <c r="J34" s="21"/>
    </row>
    <row r="35" spans="3:14" ht="33" customHeight="1" thickBot="1" x14ac:dyDescent="0.2">
      <c r="C35" s="24"/>
      <c r="D35" s="815"/>
      <c r="E35" s="805"/>
      <c r="F35" s="509"/>
      <c r="G35" s="510"/>
      <c r="H35" s="510"/>
      <c r="I35" s="512"/>
      <c r="J35" s="20"/>
    </row>
    <row r="36" spans="3:14" ht="33" customHeight="1" thickBot="1" x14ac:dyDescent="0.2">
      <c r="C36" s="24"/>
      <c r="D36" s="305"/>
      <c r="E36" s="306"/>
      <c r="F36" s="27"/>
      <c r="G36" s="27"/>
      <c r="H36" s="27"/>
      <c r="I36" s="27"/>
      <c r="J36" s="20"/>
    </row>
    <row r="37" spans="3:14" ht="33" customHeight="1" x14ac:dyDescent="0.15">
      <c r="C37" s="24"/>
      <c r="D37" s="802" t="str">
        <f>IF(シート①入力画面!P41="","",シート①入力画面!P41)</f>
        <v/>
      </c>
      <c r="E37" s="804" t="str">
        <f>IF(シート①入力画面!Q41="","",シート①入力画面!Q41)</f>
        <v/>
      </c>
      <c r="F37" s="101" t="str">
        <f>IF(シート①入力画面!BX52="","",シート①入力画面!BX52)</f>
        <v/>
      </c>
      <c r="G37" s="101" t="str">
        <f>IF(シート①入力画面!BY52="","",シート①入力画面!BY52)</f>
        <v/>
      </c>
      <c r="H37" s="101" t="str">
        <f>IF(シート①入力画面!BZ52="","",シート①入力画面!BZ52)</f>
        <v/>
      </c>
      <c r="I37" s="301" t="str">
        <f>IF(シート①入力画面!CA52="","",シート①入力画面!CA52)</f>
        <v/>
      </c>
      <c r="J37" s="21"/>
    </row>
    <row r="38" spans="3:14" ht="33" customHeight="1" thickBot="1" x14ac:dyDescent="0.2">
      <c r="C38" s="24"/>
      <c r="D38" s="803"/>
      <c r="E38" s="805"/>
      <c r="F38" s="513"/>
      <c r="G38" s="514"/>
      <c r="H38" s="514"/>
      <c r="I38" s="515"/>
      <c r="J38" s="20"/>
    </row>
    <row r="39" spans="3:14" ht="33" customHeight="1" thickBot="1" x14ac:dyDescent="0.2">
      <c r="C39" s="24"/>
      <c r="D39" s="305"/>
      <c r="E39" s="306"/>
      <c r="F39" s="27"/>
      <c r="G39" s="27"/>
      <c r="H39" s="27"/>
      <c r="I39" s="27"/>
      <c r="J39" s="20"/>
    </row>
    <row r="40" spans="3:14" ht="33" customHeight="1" x14ac:dyDescent="0.15">
      <c r="C40" s="24"/>
      <c r="D40" s="802" t="str">
        <f>IF(シート①入力画面!P43="","",シート①入力画面!P43)</f>
        <v/>
      </c>
      <c r="E40" s="804" t="str">
        <f>IF(シート①入力画面!Q43="","",シート①入力画面!Q43)</f>
        <v/>
      </c>
      <c r="F40" s="101" t="str">
        <f>IF(シート①入力画面!BX54="","",シート①入力画面!BX54)</f>
        <v/>
      </c>
      <c r="G40" s="101" t="str">
        <f>IF(シート①入力画面!BY54="","",シート①入力画面!BY54)</f>
        <v/>
      </c>
      <c r="H40" s="101" t="str">
        <f>IF(シート①入力画面!BZ54="","",シート①入力画面!BZ54)</f>
        <v/>
      </c>
      <c r="I40" s="301" t="str">
        <f>IF(シート①入力画面!CA54="","",シート①入力画面!CA54)</f>
        <v/>
      </c>
      <c r="J40" s="21"/>
    </row>
    <row r="41" spans="3:14" ht="33" customHeight="1" thickBot="1" x14ac:dyDescent="0.2">
      <c r="C41" s="24"/>
      <c r="D41" s="803"/>
      <c r="E41" s="805"/>
      <c r="F41" s="516"/>
      <c r="G41" s="517"/>
      <c r="H41" s="517"/>
      <c r="I41" s="515"/>
      <c r="J41" s="20"/>
    </row>
    <row r="42" spans="3:14" ht="33" customHeight="1" thickBot="1" x14ac:dyDescent="0.2">
      <c r="C42" s="24"/>
      <c r="D42" s="305"/>
      <c r="E42" s="306"/>
      <c r="F42" s="27"/>
      <c r="G42" s="27"/>
      <c r="H42" s="27"/>
      <c r="I42" s="27"/>
      <c r="J42" s="20"/>
    </row>
    <row r="43" spans="3:14" ht="33" customHeight="1" x14ac:dyDescent="0.15">
      <c r="C43" s="24"/>
      <c r="D43" s="802" t="str">
        <f>IF(シート①入力画面!P45="","",シート①入力画面!P45)</f>
        <v/>
      </c>
      <c r="E43" s="804" t="str">
        <f>IF(シート①入力画面!Q45="","",シート①入力画面!Q45)</f>
        <v/>
      </c>
      <c r="F43" s="101" t="str">
        <f>IF(シート①入力画面!BX56="","",シート①入力画面!BX56)</f>
        <v/>
      </c>
      <c r="G43" s="101" t="str">
        <f>IF(シート①入力画面!BY56="","",シート①入力画面!BY56)</f>
        <v/>
      </c>
      <c r="H43" s="101" t="str">
        <f>IF(シート①入力画面!BZ56="","",シート①入力画面!BZ56)</f>
        <v/>
      </c>
      <c r="I43" s="301" t="str">
        <f>IF(シート①入力画面!CA56="","",シート①入力画面!CA56)</f>
        <v/>
      </c>
      <c r="J43" s="21"/>
    </row>
    <row r="44" spans="3:14" ht="33" customHeight="1" thickBot="1" x14ac:dyDescent="0.2">
      <c r="C44" s="24"/>
      <c r="D44" s="803"/>
      <c r="E44" s="805"/>
      <c r="F44" s="513"/>
      <c r="G44" s="514"/>
      <c r="H44" s="514"/>
      <c r="I44" s="518"/>
      <c r="J44" s="20"/>
    </row>
    <row r="45" spans="3:14" ht="33" customHeight="1" thickBot="1" x14ac:dyDescent="0.2">
      <c r="D45" s="18"/>
      <c r="E45" s="18"/>
      <c r="F45" s="20"/>
      <c r="G45" s="20"/>
      <c r="H45" s="20"/>
      <c r="I45" s="20"/>
      <c r="J45" s="22"/>
    </row>
    <row r="46" spans="3:14" ht="33" customHeight="1" x14ac:dyDescent="0.15">
      <c r="D46" s="802" t="str">
        <f>IF(シート①入力画面!P47="","",シート①入力画面!P47)</f>
        <v/>
      </c>
      <c r="E46" s="804" t="str">
        <f>IF(シート①入力画面!Q47="","",シート①入力画面!Q47)</f>
        <v/>
      </c>
      <c r="F46" s="101" t="str">
        <f>IF(シート①入力画面!BX58="","",シート①入力画面!BX58)</f>
        <v/>
      </c>
      <c r="G46" s="101" t="str">
        <f>IF(シート①入力画面!BY58="","",シート①入力画面!BY58)</f>
        <v/>
      </c>
      <c r="H46" s="101" t="str">
        <f>IF(シート①入力画面!BZ58="","",シート①入力画面!BZ58)</f>
        <v/>
      </c>
      <c r="I46" s="301" t="str">
        <f>IF(シート①入力画面!CA58="","",シート①入力画面!CA58)</f>
        <v/>
      </c>
    </row>
    <row r="47" spans="3:14" ht="33" customHeight="1" thickBot="1" x14ac:dyDescent="0.2">
      <c r="D47" s="803"/>
      <c r="E47" s="805"/>
      <c r="F47" s="513"/>
      <c r="G47" s="514"/>
      <c r="H47" s="514"/>
      <c r="I47" s="518"/>
    </row>
    <row r="48" spans="3:14" ht="33" customHeight="1" thickBot="1" x14ac:dyDescent="0.2">
      <c r="N48" s="298"/>
    </row>
    <row r="49" spans="4:15" ht="33" customHeight="1" x14ac:dyDescent="0.15">
      <c r="D49" s="802" t="str">
        <f>IF(シート①入力画面!P49="","",シート①入力画面!P49)</f>
        <v/>
      </c>
      <c r="E49" s="804" t="str">
        <f>IF(シート①入力画面!Q49="","",シート①入力画面!Q49)</f>
        <v/>
      </c>
      <c r="F49" s="101" t="str">
        <f>IF(シート①入力画面!BX60="","",シート①入力画面!BX60)</f>
        <v/>
      </c>
      <c r="G49" s="101" t="str">
        <f>IF(シート①入力画面!BY60="","",シート①入力画面!BY60)</f>
        <v/>
      </c>
      <c r="H49" s="101" t="str">
        <f>IF(シート①入力画面!BZ60="","",シート①入力画面!BZ60)</f>
        <v/>
      </c>
      <c r="I49" s="301" t="str">
        <f>IF(シート①入力画面!CA60="","",シート①入力画面!CA60)</f>
        <v/>
      </c>
      <c r="N49" s="146"/>
    </row>
    <row r="50" spans="4:15" ht="33" customHeight="1" thickBot="1" x14ac:dyDescent="0.2">
      <c r="D50" s="803"/>
      <c r="E50" s="805"/>
      <c r="F50" s="513"/>
      <c r="G50" s="514"/>
      <c r="H50" s="514"/>
      <c r="I50" s="518"/>
    </row>
    <row r="51" spans="4:15" x14ac:dyDescent="0.15">
      <c r="N51" s="108"/>
      <c r="O51" s="108"/>
    </row>
    <row r="52" spans="4:15" x14ac:dyDescent="0.15">
      <c r="N52" s="108"/>
      <c r="O52" s="108"/>
    </row>
    <row r="53" spans="4:15" x14ac:dyDescent="0.15">
      <c r="N53" s="108"/>
      <c r="O53" s="108"/>
    </row>
    <row r="54" spans="4:15" x14ac:dyDescent="0.15">
      <c r="N54" s="108"/>
      <c r="O54" s="108"/>
    </row>
    <row r="55" spans="4:15" x14ac:dyDescent="0.15">
      <c r="N55" s="108"/>
      <c r="O55" s="108"/>
    </row>
    <row r="56" spans="4:15" x14ac:dyDescent="0.15">
      <c r="N56" s="108"/>
      <c r="O56" s="108"/>
    </row>
    <row r="57" spans="4:15" x14ac:dyDescent="0.15">
      <c r="N57" s="108"/>
      <c r="O57" s="108"/>
    </row>
    <row r="58" spans="4:15" x14ac:dyDescent="0.15">
      <c r="N58" s="108"/>
      <c r="O58" s="108"/>
    </row>
    <row r="59" spans="4:15" x14ac:dyDescent="0.15">
      <c r="N59" s="108"/>
      <c r="O59" s="108"/>
    </row>
    <row r="60" spans="4:15" x14ac:dyDescent="0.15">
      <c r="N60" s="108"/>
      <c r="O60" s="108"/>
    </row>
    <row r="61" spans="4:15" x14ac:dyDescent="0.15">
      <c r="N61" s="108"/>
      <c r="O61" s="108"/>
    </row>
    <row r="62" spans="4:15" x14ac:dyDescent="0.15">
      <c r="N62" s="108"/>
      <c r="O62" s="108"/>
    </row>
    <row r="63" spans="4:15" x14ac:dyDescent="0.15">
      <c r="N63" s="108"/>
      <c r="O63" s="108"/>
    </row>
    <row r="64" spans="4:15" x14ac:dyDescent="0.15">
      <c r="N64" s="108"/>
      <c r="O64" s="108"/>
    </row>
    <row r="65" spans="14:15" x14ac:dyDescent="0.15">
      <c r="N65" s="108"/>
      <c r="O65" s="108"/>
    </row>
    <row r="66" spans="14:15" x14ac:dyDescent="0.15">
      <c r="N66" s="108"/>
      <c r="O66" s="108"/>
    </row>
    <row r="67" spans="14:15" x14ac:dyDescent="0.15">
      <c r="N67" s="108"/>
      <c r="O67" s="108"/>
    </row>
    <row r="68" spans="14:15" x14ac:dyDescent="0.15">
      <c r="N68" s="108"/>
      <c r="O68" s="108"/>
    </row>
    <row r="69" spans="14:15" x14ac:dyDescent="0.15">
      <c r="N69" s="108"/>
      <c r="O69" s="108"/>
    </row>
    <row r="70" spans="14:15" x14ac:dyDescent="0.15">
      <c r="N70" s="108"/>
      <c r="O70" s="108"/>
    </row>
    <row r="71" spans="14:15" x14ac:dyDescent="0.15">
      <c r="N71" s="108"/>
      <c r="O71" s="108"/>
    </row>
    <row r="72" spans="14:15" x14ac:dyDescent="0.15">
      <c r="N72" s="108"/>
      <c r="O72" s="108"/>
    </row>
    <row r="73" spans="14:15" x14ac:dyDescent="0.15">
      <c r="N73" s="108"/>
      <c r="O73" s="108"/>
    </row>
    <row r="74" spans="14:15" x14ac:dyDescent="0.15">
      <c r="N74" s="108"/>
      <c r="O74" s="108"/>
    </row>
    <row r="75" spans="14:15" x14ac:dyDescent="0.15">
      <c r="N75" s="108"/>
      <c r="O75" s="108"/>
    </row>
    <row r="76" spans="14:15" x14ac:dyDescent="0.15">
      <c r="N76" s="108"/>
      <c r="O76" s="108"/>
    </row>
    <row r="77" spans="14:15" x14ac:dyDescent="0.15">
      <c r="N77" s="108"/>
      <c r="O77" s="108"/>
    </row>
    <row r="78" spans="14:15" x14ac:dyDescent="0.15">
      <c r="N78" s="108"/>
      <c r="O78" s="108"/>
    </row>
    <row r="79" spans="14:15" x14ac:dyDescent="0.15">
      <c r="N79" s="108"/>
      <c r="O79" s="108"/>
    </row>
    <row r="80" spans="14:15" x14ac:dyDescent="0.15">
      <c r="N80" s="108"/>
      <c r="O80" s="108"/>
    </row>
    <row r="81" spans="14:15" x14ac:dyDescent="0.15">
      <c r="N81" s="108"/>
      <c r="O81" s="108"/>
    </row>
    <row r="82" spans="14:15" x14ac:dyDescent="0.15">
      <c r="N82" s="108"/>
      <c r="O82" s="108"/>
    </row>
    <row r="83" spans="14:15" x14ac:dyDescent="0.15">
      <c r="N83" s="108"/>
      <c r="O83" s="108"/>
    </row>
    <row r="84" spans="14:15" x14ac:dyDescent="0.15">
      <c r="N84" s="108"/>
      <c r="O84" s="108"/>
    </row>
    <row r="85" spans="14:15" x14ac:dyDescent="0.15">
      <c r="N85" s="108"/>
      <c r="O85" s="108"/>
    </row>
    <row r="86" spans="14:15" x14ac:dyDescent="0.15">
      <c r="N86" s="108"/>
      <c r="O86" s="108"/>
    </row>
    <row r="87" spans="14:15" x14ac:dyDescent="0.15">
      <c r="N87" s="108"/>
      <c r="O87" s="108"/>
    </row>
    <row r="88" spans="14:15" x14ac:dyDescent="0.15">
      <c r="N88" s="108"/>
      <c r="O88" s="108"/>
    </row>
    <row r="89" spans="14:15" x14ac:dyDescent="0.15">
      <c r="N89" s="108"/>
      <c r="O89" s="108"/>
    </row>
    <row r="90" spans="14:15" x14ac:dyDescent="0.15">
      <c r="N90" s="108"/>
      <c r="O90" s="108"/>
    </row>
  </sheetData>
  <sheetProtection password="EBCD" sheet="1" objects="1" scenarios="1" formatCells="0" formatColumns="0" formatRows="0" deleteColumns="0" deleteRows="0" selectLockedCells="1"/>
  <mergeCells count="27">
    <mergeCell ref="D37:D38"/>
    <mergeCell ref="E37:E38"/>
    <mergeCell ref="D40:D41"/>
    <mergeCell ref="E40:E41"/>
    <mergeCell ref="D43:D44"/>
    <mergeCell ref="E43:E44"/>
    <mergeCell ref="E28:E29"/>
    <mergeCell ref="D31:D32"/>
    <mergeCell ref="E31:E32"/>
    <mergeCell ref="D34:D35"/>
    <mergeCell ref="E34:E35"/>
    <mergeCell ref="D46:D47"/>
    <mergeCell ref="E46:E47"/>
    <mergeCell ref="D49:D50"/>
    <mergeCell ref="E49:E50"/>
    <mergeCell ref="H10:I10"/>
    <mergeCell ref="H11:I11"/>
    <mergeCell ref="H12:I12"/>
    <mergeCell ref="D16:D17"/>
    <mergeCell ref="E16:E17"/>
    <mergeCell ref="D19:D20"/>
    <mergeCell ref="E19:E20"/>
    <mergeCell ref="D22:D23"/>
    <mergeCell ref="E22:E23"/>
    <mergeCell ref="D25:D26"/>
    <mergeCell ref="E25:E26"/>
    <mergeCell ref="D28:D29"/>
  </mergeCells>
  <phoneticPr fontId="1"/>
  <dataValidations count="2">
    <dataValidation type="whole" allowBlank="1" showInputMessage="1" showErrorMessage="1" error="スコアを入れてください_x000a_（半角数値です）" sqref="F45:I45 J41:J42 J38:J39 J35:J36 J32:J33 J29:J30 J26:J27 J23:J24 J20:J21 J44:J45 J17:J18" xr:uid="{00000000-0002-0000-0300-000000000000}">
      <formula1>60</formula1>
      <formula2>150</formula2>
    </dataValidation>
    <dataValidation type="list" allowBlank="1" showInputMessage="1" showErrorMessage="1" error="名前を確認してください" sqref="J19 J40 J37 J43 J16 J34 J31 J28 J25 J22" xr:uid="{00000000-0002-0000-0300-000001000000}">
      <formula1>$AF$82:$AF$136</formula1>
    </dataValidation>
  </dataValidations>
  <pageMargins left="0.70866141732283472" right="0.44" top="0.74803149606299213" bottom="0.74803149606299213" header="0.31496062992125984" footer="0.31496062992125984"/>
  <pageSetup paperSize="9" scale="68"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99"/>
  <sheetViews>
    <sheetView topLeftCell="B1" workbookViewId="0">
      <selection activeCell="R3" sqref="R3"/>
    </sheetView>
  </sheetViews>
  <sheetFormatPr defaultColWidth="9" defaultRowHeight="13.5" x14ac:dyDescent="0.15"/>
  <cols>
    <col min="1" max="1" width="4.375" style="2" hidden="1" customWidth="1"/>
    <col min="2" max="2" width="3.125" style="3" customWidth="1"/>
    <col min="3" max="3" width="8.5" style="3" customWidth="1"/>
    <col min="4" max="4" width="15.375" style="3" hidden="1" customWidth="1"/>
    <col min="5" max="6" width="6.125" style="3" customWidth="1"/>
    <col min="7" max="7" width="6.625" style="3" customWidth="1"/>
    <col min="8" max="13" width="6" style="3" customWidth="1"/>
    <col min="14" max="14" width="6" style="2" customWidth="1"/>
    <col min="15" max="20" width="6" style="3" customWidth="1"/>
    <col min="21" max="22" width="6" style="2" customWidth="1"/>
    <col min="23" max="23" width="7.125" style="2" customWidth="1"/>
    <col min="24" max="24" width="6.5" style="3" hidden="1" customWidth="1"/>
    <col min="25" max="25" width="5" style="3" hidden="1" customWidth="1"/>
    <col min="26" max="26" width="5.375" style="3" hidden="1" customWidth="1"/>
    <col min="27" max="27" width="5.75" style="2" hidden="1" customWidth="1"/>
    <col min="28" max="28" width="4.375" style="3" hidden="1" customWidth="1"/>
    <col min="29" max="29" width="6.875" style="3" hidden="1" customWidth="1"/>
    <col min="30" max="30" width="7" style="8" hidden="1" customWidth="1"/>
    <col min="31" max="31" width="7.625" style="8" hidden="1" customWidth="1"/>
    <col min="32" max="32" width="8" style="3" hidden="1" customWidth="1"/>
    <col min="33" max="33" width="4.125" style="3" customWidth="1"/>
    <col min="34" max="16384" width="9" style="3"/>
  </cols>
  <sheetData>
    <row r="1" spans="1:33" ht="17.25" x14ac:dyDescent="0.15">
      <c r="C1" s="348"/>
      <c r="E1" s="348"/>
      <c r="K1" s="4" t="s">
        <v>548</v>
      </c>
      <c r="L1" s="4"/>
      <c r="M1" s="4"/>
      <c r="N1" s="5"/>
      <c r="O1" s="4"/>
      <c r="P1" s="4"/>
      <c r="Q1" s="4"/>
      <c r="R1" s="4"/>
      <c r="S1" s="4"/>
      <c r="T1" s="6"/>
      <c r="U1" s="7"/>
      <c r="V1" s="7"/>
      <c r="W1" s="553"/>
      <c r="X1" s="4"/>
      <c r="Y1" s="4"/>
      <c r="Z1" s="4"/>
      <c r="AA1" s="5"/>
      <c r="AB1" s="6"/>
      <c r="AC1" s="4"/>
      <c r="AF1"/>
      <c r="AG1" s="348"/>
    </row>
    <row r="2" spans="1:33" ht="29.25" customHeight="1" x14ac:dyDescent="0.15">
      <c r="C2" s="680" t="s">
        <v>622</v>
      </c>
      <c r="E2" s="9"/>
      <c r="F2" s="9"/>
      <c r="G2" s="9"/>
      <c r="H2" s="9"/>
      <c r="I2" s="9"/>
      <c r="J2" s="10"/>
      <c r="K2" s="9"/>
      <c r="L2" s="9"/>
      <c r="M2" s="9"/>
      <c r="N2" s="11"/>
      <c r="O2" s="9"/>
      <c r="P2" s="12"/>
      <c r="Q2" s="9"/>
      <c r="Y2" s="816">
        <f>シート①入力画面!Q21</f>
        <v>0</v>
      </c>
      <c r="Z2" s="816"/>
      <c r="AA2" s="816"/>
      <c r="AC2"/>
    </row>
    <row r="3" spans="1:33" ht="20.25" customHeight="1" x14ac:dyDescent="0.2">
      <c r="B3"/>
      <c r="C3" s="134" t="s">
        <v>623</v>
      </c>
      <c r="D3" s="23"/>
      <c r="E3" s="96"/>
      <c r="F3" s="96"/>
      <c r="G3" s="96"/>
      <c r="H3" s="96"/>
      <c r="I3" s="96"/>
      <c r="J3" s="96"/>
      <c r="L3" s="96"/>
      <c r="M3" s="96"/>
      <c r="N3" s="96"/>
      <c r="O3" s="551"/>
      <c r="P3" s="681" t="s">
        <v>517</v>
      </c>
      <c r="Q3" s="682" t="s">
        <v>42</v>
      </c>
      <c r="R3" s="552"/>
      <c r="S3" s="683" t="s">
        <v>516</v>
      </c>
      <c r="X3" s="23"/>
      <c r="Y3" s="23"/>
      <c r="Z3" s="23"/>
      <c r="AA3" s="95"/>
      <c r="AC3" s="36"/>
      <c r="AD3" s="37"/>
    </row>
    <row r="4" spans="1:33" ht="21.75" customHeight="1" thickBot="1" x14ac:dyDescent="0.2">
      <c r="B4" s="505"/>
      <c r="C4" s="550"/>
      <c r="D4" s="506"/>
      <c r="E4" s="507"/>
      <c r="F4" s="543"/>
      <c r="G4" s="507"/>
      <c r="H4" s="507"/>
      <c r="I4" s="507"/>
      <c r="J4" s="507"/>
      <c r="K4" s="549" t="str">
        <f>IF(シート①入力画面!$CX$6&lt;2,"",IF(シート①入力画面!$CP$6=3,"スコアを[ｼｰﾄ①]、[ｼｰﾄ④]又は[ｼｰﾄ⑤]の一つのみに記入して下さい",""))</f>
        <v/>
      </c>
      <c r="L4" s="507"/>
      <c r="M4" s="507"/>
      <c r="N4" s="508"/>
      <c r="O4" s="508"/>
      <c r="P4" s="507"/>
      <c r="Q4" s="507"/>
      <c r="R4" s="548"/>
      <c r="S4" s="548"/>
      <c r="T4" s="507"/>
      <c r="U4" s="507"/>
      <c r="V4" s="507"/>
      <c r="W4" s="507"/>
      <c r="X4" s="821"/>
      <c r="Y4" s="821"/>
      <c r="Z4" s="821"/>
      <c r="AA4" s="821"/>
      <c r="AC4" s="36"/>
      <c r="AD4" s="37"/>
    </row>
    <row r="5" spans="1:33" ht="15" thickBot="1" x14ac:dyDescent="0.2">
      <c r="A5" s="820" t="s">
        <v>423</v>
      </c>
      <c r="B5" s="817" t="s">
        <v>422</v>
      </c>
      <c r="C5" s="715" t="s">
        <v>650</v>
      </c>
      <c r="D5" s="733"/>
      <c r="E5" s="747">
        <v>1</v>
      </c>
      <c r="F5" s="737">
        <v>2</v>
      </c>
      <c r="G5" s="737">
        <v>3</v>
      </c>
      <c r="H5" s="737">
        <v>4</v>
      </c>
      <c r="I5" s="737">
        <v>5</v>
      </c>
      <c r="J5" s="737">
        <v>6</v>
      </c>
      <c r="K5" s="737">
        <v>7</v>
      </c>
      <c r="L5" s="737">
        <v>8</v>
      </c>
      <c r="M5" s="737">
        <v>9</v>
      </c>
      <c r="N5" s="738">
        <v>10</v>
      </c>
      <c r="O5" s="738">
        <v>11</v>
      </c>
      <c r="P5" s="737">
        <v>12</v>
      </c>
      <c r="Q5" s="748">
        <v>13</v>
      </c>
      <c r="R5" s="737">
        <v>14</v>
      </c>
      <c r="S5" s="737">
        <v>15</v>
      </c>
      <c r="T5" s="749">
        <v>16</v>
      </c>
      <c r="U5" s="749">
        <v>17</v>
      </c>
      <c r="V5" s="748">
        <v>18</v>
      </c>
      <c r="W5" s="716"/>
      <c r="X5" s="827" t="s">
        <v>421</v>
      </c>
      <c r="Y5" s="828"/>
      <c r="Z5" s="828"/>
      <c r="AA5" s="829"/>
      <c r="AC5" s="40"/>
      <c r="AD5" s="41"/>
    </row>
    <row r="6" spans="1:33" ht="14.25" thickBot="1" x14ac:dyDescent="0.2">
      <c r="A6" s="820"/>
      <c r="B6" s="818"/>
      <c r="C6" s="717" t="s">
        <v>651</v>
      </c>
      <c r="D6" s="734"/>
      <c r="E6" s="739" t="s">
        <v>861</v>
      </c>
      <c r="F6" s="740" t="s">
        <v>862</v>
      </c>
      <c r="G6" s="739" t="s">
        <v>863</v>
      </c>
      <c r="H6" s="741" t="s">
        <v>864</v>
      </c>
      <c r="I6" s="740" t="s">
        <v>865</v>
      </c>
      <c r="J6" s="740" t="s">
        <v>866</v>
      </c>
      <c r="K6" s="740" t="s">
        <v>867</v>
      </c>
      <c r="L6" s="742" t="s">
        <v>868</v>
      </c>
      <c r="M6" s="742" t="s">
        <v>869</v>
      </c>
      <c r="N6" s="740" t="s">
        <v>870</v>
      </c>
      <c r="O6" s="750" t="s">
        <v>871</v>
      </c>
      <c r="P6" s="750" t="s">
        <v>872</v>
      </c>
      <c r="Q6" s="751" t="s">
        <v>873</v>
      </c>
      <c r="R6" s="751" t="s">
        <v>874</v>
      </c>
      <c r="S6" s="743" t="s">
        <v>875</v>
      </c>
      <c r="T6" s="752" t="s">
        <v>876</v>
      </c>
      <c r="U6" s="753" t="s">
        <v>877</v>
      </c>
      <c r="V6" s="742" t="s">
        <v>878</v>
      </c>
      <c r="W6" s="718"/>
      <c r="X6" s="822"/>
      <c r="Y6" s="823"/>
      <c r="Z6" s="823"/>
      <c r="AA6" s="824"/>
      <c r="AC6" s="42"/>
      <c r="AD6" s="37"/>
    </row>
    <row r="7" spans="1:33" ht="14.25" thickBot="1" x14ac:dyDescent="0.2">
      <c r="A7" s="820"/>
      <c r="B7" s="818"/>
      <c r="C7" s="719" t="s">
        <v>652</v>
      </c>
      <c r="D7" s="735"/>
      <c r="E7" s="754" t="s">
        <v>710</v>
      </c>
      <c r="F7" s="738" t="s">
        <v>710</v>
      </c>
      <c r="G7" s="738" t="s">
        <v>710</v>
      </c>
      <c r="H7" s="738" t="s">
        <v>710</v>
      </c>
      <c r="I7" s="738" t="s">
        <v>848</v>
      </c>
      <c r="J7" s="738" t="s">
        <v>710</v>
      </c>
      <c r="K7" s="738" t="s">
        <v>710</v>
      </c>
      <c r="L7" s="738" t="s">
        <v>710</v>
      </c>
      <c r="M7" s="755" t="s">
        <v>710</v>
      </c>
      <c r="N7" s="738" t="s">
        <v>710</v>
      </c>
      <c r="O7" s="755" t="s">
        <v>710</v>
      </c>
      <c r="P7" s="755" t="s">
        <v>710</v>
      </c>
      <c r="Q7" s="755" t="s">
        <v>848</v>
      </c>
      <c r="R7" s="738" t="s">
        <v>710</v>
      </c>
      <c r="S7" s="756" t="s">
        <v>848</v>
      </c>
      <c r="T7" s="738" t="s">
        <v>710</v>
      </c>
      <c r="U7" s="738" t="s">
        <v>710</v>
      </c>
      <c r="V7" s="754" t="s">
        <v>711</v>
      </c>
      <c r="W7" s="716"/>
      <c r="X7" s="43" t="s">
        <v>3</v>
      </c>
      <c r="Y7" s="44">
        <f>IF($R$3&lt;&gt;0,$R$3,シート①入力画面!$Q$20)</f>
        <v>0</v>
      </c>
      <c r="Z7" s="370" t="s">
        <v>4</v>
      </c>
      <c r="AA7" s="39"/>
      <c r="AC7" s="45"/>
      <c r="AD7" s="37"/>
    </row>
    <row r="8" spans="1:33" ht="36.75" thickBot="1" x14ac:dyDescent="0.2">
      <c r="A8" s="820"/>
      <c r="B8" s="818"/>
      <c r="C8" s="719" t="s">
        <v>5</v>
      </c>
      <c r="D8" s="735"/>
      <c r="E8" s="755" t="s">
        <v>839</v>
      </c>
      <c r="F8" s="755" t="s">
        <v>840</v>
      </c>
      <c r="G8" s="755" t="s">
        <v>879</v>
      </c>
      <c r="H8" s="755" t="s">
        <v>880</v>
      </c>
      <c r="I8" s="755" t="s">
        <v>627</v>
      </c>
      <c r="J8" s="757" t="s">
        <v>841</v>
      </c>
      <c r="K8" s="755" t="s">
        <v>849</v>
      </c>
      <c r="L8" s="755" t="s">
        <v>842</v>
      </c>
      <c r="M8" s="755" t="s">
        <v>850</v>
      </c>
      <c r="N8" s="755" t="s">
        <v>628</v>
      </c>
      <c r="O8" s="744" t="s">
        <v>881</v>
      </c>
      <c r="P8" s="755" t="s">
        <v>882</v>
      </c>
      <c r="Q8" s="744" t="s">
        <v>843</v>
      </c>
      <c r="R8" s="744" t="s">
        <v>883</v>
      </c>
      <c r="S8" s="755" t="s">
        <v>851</v>
      </c>
      <c r="T8" s="744" t="s">
        <v>629</v>
      </c>
      <c r="U8" s="755" t="s">
        <v>884</v>
      </c>
      <c r="V8" s="744" t="s">
        <v>844</v>
      </c>
      <c r="W8" s="716"/>
      <c r="X8" s="46" t="s">
        <v>53</v>
      </c>
      <c r="Y8" s="47"/>
      <c r="Z8" s="47"/>
      <c r="AA8" s="48"/>
      <c r="AC8" s="45"/>
      <c r="AD8" s="37"/>
      <c r="AE8" s="437" t="s">
        <v>292</v>
      </c>
      <c r="AF8" s="439" t="s">
        <v>358</v>
      </c>
    </row>
    <row r="9" spans="1:33" x14ac:dyDescent="0.15">
      <c r="A9" s="820"/>
      <c r="B9" s="818"/>
      <c r="C9" s="719" t="s">
        <v>52</v>
      </c>
      <c r="D9" s="735"/>
      <c r="E9" s="758">
        <v>5.6</v>
      </c>
      <c r="F9" s="759">
        <v>7.5</v>
      </c>
      <c r="G9" s="759">
        <v>6.5</v>
      </c>
      <c r="H9" s="759">
        <v>6.6</v>
      </c>
      <c r="I9" s="759">
        <v>6.5</v>
      </c>
      <c r="J9" s="759">
        <v>7.2</v>
      </c>
      <c r="K9" s="759">
        <v>7</v>
      </c>
      <c r="L9" s="760">
        <v>5</v>
      </c>
      <c r="M9" s="759" t="s">
        <v>885</v>
      </c>
      <c r="N9" s="759">
        <v>7.5</v>
      </c>
      <c r="O9" s="761">
        <v>6</v>
      </c>
      <c r="P9" s="759">
        <v>7</v>
      </c>
      <c r="Q9" s="761">
        <v>8.1</v>
      </c>
      <c r="R9" s="761">
        <v>6.8</v>
      </c>
      <c r="S9" s="759">
        <v>7.2</v>
      </c>
      <c r="T9" s="761">
        <v>7</v>
      </c>
      <c r="U9" s="761">
        <v>8</v>
      </c>
      <c r="V9" s="761">
        <v>8.5</v>
      </c>
      <c r="W9" s="720"/>
      <c r="X9" s="49" t="s">
        <v>6</v>
      </c>
      <c r="Y9" s="50" t="s">
        <v>7</v>
      </c>
      <c r="Z9" s="825" t="s">
        <v>8</v>
      </c>
      <c r="AA9" s="826"/>
      <c r="AC9" s="45"/>
      <c r="AD9" s="37"/>
      <c r="AE9" s="438" t="s">
        <v>293</v>
      </c>
      <c r="AF9" s="440" t="s">
        <v>359</v>
      </c>
    </row>
    <row r="10" spans="1:33" ht="14.25" thickBot="1" x14ac:dyDescent="0.2">
      <c r="A10" s="820"/>
      <c r="B10" s="819"/>
      <c r="C10" s="721" t="s">
        <v>9</v>
      </c>
      <c r="D10" s="736"/>
      <c r="E10" s="745" t="s">
        <v>714</v>
      </c>
      <c r="F10" s="745" t="s">
        <v>712</v>
      </c>
      <c r="G10" s="745" t="s">
        <v>845</v>
      </c>
      <c r="H10" s="762" t="s">
        <v>852</v>
      </c>
      <c r="I10" s="745" t="s">
        <v>713</v>
      </c>
      <c r="J10" s="762" t="s">
        <v>726</v>
      </c>
      <c r="K10" s="745" t="s">
        <v>723</v>
      </c>
      <c r="L10" s="745" t="s">
        <v>724</v>
      </c>
      <c r="M10" s="745" t="s">
        <v>715</v>
      </c>
      <c r="N10" s="745" t="s">
        <v>639</v>
      </c>
      <c r="O10" s="746" t="s">
        <v>727</v>
      </c>
      <c r="P10" s="745" t="s">
        <v>728</v>
      </c>
      <c r="Q10" s="746" t="s">
        <v>716</v>
      </c>
      <c r="R10" s="746" t="s">
        <v>846</v>
      </c>
      <c r="S10" s="762" t="s">
        <v>847</v>
      </c>
      <c r="T10" s="746" t="s">
        <v>644</v>
      </c>
      <c r="U10" s="746" t="s">
        <v>717</v>
      </c>
      <c r="V10" s="746" t="s">
        <v>718</v>
      </c>
      <c r="W10" s="722"/>
      <c r="X10" s="51" t="s">
        <v>10</v>
      </c>
      <c r="Y10" s="52" t="s">
        <v>11</v>
      </c>
      <c r="Z10" s="53" t="s">
        <v>12</v>
      </c>
      <c r="AA10" s="48" t="s">
        <v>13</v>
      </c>
      <c r="AC10" s="451" t="s">
        <v>14</v>
      </c>
      <c r="AD10" s="452" t="s">
        <v>15</v>
      </c>
      <c r="AE10" s="441" t="s">
        <v>360</v>
      </c>
      <c r="AF10" s="442" t="s">
        <v>361</v>
      </c>
    </row>
    <row r="11" spans="1:33" ht="14.25" thickBot="1" x14ac:dyDescent="0.2">
      <c r="A11" s="2">
        <f>名簿ﾘｽﾄ!B5</f>
        <v>77</v>
      </c>
      <c r="B11" s="686">
        <v>1</v>
      </c>
      <c r="C11" s="723" t="s">
        <v>695</v>
      </c>
      <c r="D11" s="724"/>
      <c r="E11" s="725" t="s">
        <v>31</v>
      </c>
      <c r="F11" s="688" t="s">
        <v>31</v>
      </c>
      <c r="G11" s="688" t="s">
        <v>31</v>
      </c>
      <c r="H11" s="688"/>
      <c r="I11" s="688" t="s">
        <v>31</v>
      </c>
      <c r="J11" s="688" t="s">
        <v>31</v>
      </c>
      <c r="K11" s="688" t="s">
        <v>31</v>
      </c>
      <c r="L11" s="688" t="s">
        <v>31</v>
      </c>
      <c r="M11" s="688" t="s">
        <v>31</v>
      </c>
      <c r="N11" s="688" t="s">
        <v>31</v>
      </c>
      <c r="O11" s="688"/>
      <c r="P11" s="688" t="s">
        <v>31</v>
      </c>
      <c r="Q11" s="688"/>
      <c r="R11" s="688" t="s">
        <v>31</v>
      </c>
      <c r="S11" s="688" t="s">
        <v>31</v>
      </c>
      <c r="T11" s="688" t="s">
        <v>31</v>
      </c>
      <c r="U11" s="688" t="s">
        <v>31</v>
      </c>
      <c r="V11" s="726" t="s">
        <v>31</v>
      </c>
      <c r="W11" s="727"/>
      <c r="X11" s="54" t="str">
        <f>IF(C11="","",IF(Y11=0,"",AVERAGE(E11:W11)))</f>
        <v/>
      </c>
      <c r="Y11" s="55">
        <f>IF(C11="","",COUNT(E11:W11))</f>
        <v>0</v>
      </c>
      <c r="Z11" s="56" t="str">
        <f>IF(C11="","",IF(AD11&lt;50,"*",RANK($AC11,$AC$11:$AC$75,1)))</f>
        <v>*</v>
      </c>
      <c r="AA11" s="57" t="str">
        <f>IF(C11="","",IF(Y11=0,"*",RANK(X11,$X$11:$X$75,1)))</f>
        <v>*</v>
      </c>
      <c r="AC11" s="349" t="str">
        <f>IF(C11="","",IF($AD11&lt;49,"*",$X11))</f>
        <v>*</v>
      </c>
      <c r="AD11" s="504">
        <f>IF(C11="","",Y11/$AD$79%)</f>
        <v>0</v>
      </c>
      <c r="AE11" s="384">
        <v>102.1</v>
      </c>
      <c r="AF11" s="384" t="s">
        <v>31</v>
      </c>
    </row>
    <row r="12" spans="1:33" ht="14.25" thickBot="1" x14ac:dyDescent="0.2">
      <c r="A12" s="2">
        <f>名簿ﾘｽﾄ!B6</f>
        <v>78</v>
      </c>
      <c r="B12" s="686">
        <v>2</v>
      </c>
      <c r="C12" s="728" t="s">
        <v>698</v>
      </c>
      <c r="D12" s="724"/>
      <c r="E12" s="729" t="s">
        <v>31</v>
      </c>
      <c r="F12" s="693" t="s">
        <v>31</v>
      </c>
      <c r="G12" s="693" t="s">
        <v>31</v>
      </c>
      <c r="H12" s="693"/>
      <c r="I12" s="693" t="s">
        <v>31</v>
      </c>
      <c r="J12" s="693" t="s">
        <v>31</v>
      </c>
      <c r="K12" s="693" t="s">
        <v>31</v>
      </c>
      <c r="L12" s="693" t="s">
        <v>31</v>
      </c>
      <c r="M12" s="693" t="s">
        <v>31</v>
      </c>
      <c r="N12" s="693" t="s">
        <v>31</v>
      </c>
      <c r="O12" s="693"/>
      <c r="P12" s="693" t="s">
        <v>31</v>
      </c>
      <c r="Q12" s="693"/>
      <c r="R12" s="688" t="s">
        <v>31</v>
      </c>
      <c r="S12" s="693" t="s">
        <v>31</v>
      </c>
      <c r="T12" s="693" t="s">
        <v>31</v>
      </c>
      <c r="U12" s="693" t="s">
        <v>31</v>
      </c>
      <c r="V12" s="730" t="s">
        <v>31</v>
      </c>
      <c r="W12" s="731"/>
      <c r="X12" s="54" t="str">
        <f t="shared" ref="X12:X75" si="0">IF(C12="","",IF(Y12=0,"",AVERAGE(E12:W12)))</f>
        <v/>
      </c>
      <c r="Y12" s="55">
        <f t="shared" ref="Y12:Y75" si="1">IF(C12="","",COUNT(E12:W12))</f>
        <v>0</v>
      </c>
      <c r="Z12" s="56" t="str">
        <f t="shared" ref="Z12:Z75" si="2">IF(C12="","",IF(AD12&lt;50,"*",RANK($AC12,$AC$11:$AC$75,1)))</f>
        <v>*</v>
      </c>
      <c r="AA12" s="57" t="str">
        <f t="shared" ref="AA12:AA75" si="3">IF(C12="","",IF(Y12=0,"*",RANK(X12,$X$11:$X$75,1)))</f>
        <v>*</v>
      </c>
      <c r="AC12" s="349" t="str">
        <f t="shared" ref="AC12:AC75" si="4">IF(C12="","",IF($AD12&lt;49,"*",$X12))</f>
        <v>*</v>
      </c>
      <c r="AD12" s="504">
        <f t="shared" ref="AD12:AD75" si="5">IF(C12="","",Y12/$AD$79%)</f>
        <v>0</v>
      </c>
      <c r="AE12" s="384" t="s">
        <v>464</v>
      </c>
      <c r="AF12" s="384" t="s">
        <v>31</v>
      </c>
    </row>
    <row r="13" spans="1:33" ht="14.25" thickBot="1" x14ac:dyDescent="0.2">
      <c r="A13" s="2">
        <f>名簿ﾘｽﾄ!B7</f>
        <v>30</v>
      </c>
      <c r="B13" s="686">
        <v>3</v>
      </c>
      <c r="C13" s="728" t="s">
        <v>660</v>
      </c>
      <c r="D13" s="724"/>
      <c r="E13" s="729">
        <v>99</v>
      </c>
      <c r="F13" s="693">
        <v>95</v>
      </c>
      <c r="G13" s="693">
        <v>102</v>
      </c>
      <c r="H13" s="693"/>
      <c r="I13" s="693">
        <v>92</v>
      </c>
      <c r="J13" s="693" t="s">
        <v>31</v>
      </c>
      <c r="K13" s="693" t="s">
        <v>31</v>
      </c>
      <c r="L13" s="693" t="s">
        <v>31</v>
      </c>
      <c r="M13" s="693" t="s">
        <v>31</v>
      </c>
      <c r="N13" s="693" t="s">
        <v>31</v>
      </c>
      <c r="O13" s="693"/>
      <c r="P13" s="732">
        <v>96</v>
      </c>
      <c r="Q13" s="693"/>
      <c r="R13" s="688" t="s">
        <v>31</v>
      </c>
      <c r="S13" s="693" t="s">
        <v>31</v>
      </c>
      <c r="T13" s="693" t="s">
        <v>31</v>
      </c>
      <c r="U13" s="693" t="s">
        <v>31</v>
      </c>
      <c r="V13" s="730" t="s">
        <v>31</v>
      </c>
      <c r="W13" s="731"/>
      <c r="X13" s="54">
        <f t="shared" si="0"/>
        <v>96.8</v>
      </c>
      <c r="Y13" s="55">
        <f t="shared" si="1"/>
        <v>5</v>
      </c>
      <c r="Z13" s="56" t="str">
        <f t="shared" si="2"/>
        <v>*</v>
      </c>
      <c r="AA13" s="57">
        <f t="shared" si="3"/>
        <v>24</v>
      </c>
      <c r="AC13" s="349" t="str">
        <f t="shared" si="4"/>
        <v>*</v>
      </c>
      <c r="AD13" s="504">
        <f t="shared" si="5"/>
        <v>33.333333333333336</v>
      </c>
      <c r="AE13" s="384">
        <v>98.3</v>
      </c>
      <c r="AF13" s="384">
        <v>96.8</v>
      </c>
    </row>
    <row r="14" spans="1:33" ht="14.25" thickBot="1" x14ac:dyDescent="0.2">
      <c r="A14" s="2">
        <f>名簿ﾘｽﾄ!B8</f>
        <v>32</v>
      </c>
      <c r="B14" s="686">
        <v>4</v>
      </c>
      <c r="C14" s="728" t="s">
        <v>661</v>
      </c>
      <c r="D14" s="724"/>
      <c r="E14" s="729">
        <v>109</v>
      </c>
      <c r="F14" s="693" t="s">
        <v>31</v>
      </c>
      <c r="G14" s="693" t="s">
        <v>31</v>
      </c>
      <c r="H14" s="693"/>
      <c r="I14" s="693" t="s">
        <v>31</v>
      </c>
      <c r="J14" s="693" t="s">
        <v>31</v>
      </c>
      <c r="K14" s="693" t="s">
        <v>31</v>
      </c>
      <c r="L14" s="693" t="s">
        <v>31</v>
      </c>
      <c r="M14" s="693" t="s">
        <v>31</v>
      </c>
      <c r="N14" s="693" t="s">
        <v>31</v>
      </c>
      <c r="O14" s="693"/>
      <c r="P14" s="732">
        <v>100</v>
      </c>
      <c r="Q14" s="693"/>
      <c r="R14" s="688">
        <v>97</v>
      </c>
      <c r="S14" s="693">
        <v>103</v>
      </c>
      <c r="T14" s="693" t="s">
        <v>31</v>
      </c>
      <c r="U14" s="693">
        <v>104</v>
      </c>
      <c r="V14" s="730">
        <v>105</v>
      </c>
      <c r="W14" s="731"/>
      <c r="X14" s="54">
        <f t="shared" si="0"/>
        <v>103</v>
      </c>
      <c r="Y14" s="55">
        <f t="shared" si="1"/>
        <v>6</v>
      </c>
      <c r="Z14" s="56" t="str">
        <f t="shared" si="2"/>
        <v>*</v>
      </c>
      <c r="AA14" s="57">
        <f t="shared" si="3"/>
        <v>35</v>
      </c>
      <c r="AC14" s="349" t="str">
        <f t="shared" si="4"/>
        <v>*</v>
      </c>
      <c r="AD14" s="504">
        <f t="shared" si="5"/>
        <v>40</v>
      </c>
      <c r="AE14" s="384">
        <v>98.3</v>
      </c>
      <c r="AF14" s="384">
        <v>103</v>
      </c>
    </row>
    <row r="15" spans="1:33" ht="14.25" thickBot="1" x14ac:dyDescent="0.2">
      <c r="A15" s="2">
        <f>名簿ﾘｽﾄ!B9</f>
        <v>57</v>
      </c>
      <c r="B15" s="686">
        <v>5</v>
      </c>
      <c r="C15" s="728" t="s">
        <v>634</v>
      </c>
      <c r="D15" s="724"/>
      <c r="E15" s="729">
        <v>98</v>
      </c>
      <c r="F15" s="693">
        <v>97</v>
      </c>
      <c r="G15" s="693">
        <v>93</v>
      </c>
      <c r="H15" s="693"/>
      <c r="I15" s="693">
        <v>105</v>
      </c>
      <c r="J15" s="693">
        <v>101</v>
      </c>
      <c r="K15" s="693">
        <v>103</v>
      </c>
      <c r="L15" s="693">
        <v>97</v>
      </c>
      <c r="M15" s="693">
        <v>104</v>
      </c>
      <c r="N15" s="693">
        <v>104</v>
      </c>
      <c r="O15" s="693"/>
      <c r="P15" s="732">
        <v>99</v>
      </c>
      <c r="Q15" s="693"/>
      <c r="R15" s="688">
        <v>103</v>
      </c>
      <c r="S15" s="693">
        <v>105</v>
      </c>
      <c r="T15" s="693">
        <v>98</v>
      </c>
      <c r="U15" s="693" t="s">
        <v>31</v>
      </c>
      <c r="V15" s="730" t="s">
        <v>31</v>
      </c>
      <c r="W15" s="731"/>
      <c r="X15" s="54">
        <f t="shared" si="0"/>
        <v>100.53846153846153</v>
      </c>
      <c r="Y15" s="55">
        <f t="shared" si="1"/>
        <v>13</v>
      </c>
      <c r="Z15" s="56">
        <f t="shared" si="2"/>
        <v>24</v>
      </c>
      <c r="AA15" s="57">
        <f t="shared" si="3"/>
        <v>30</v>
      </c>
      <c r="AC15" s="349">
        <f t="shared" si="4"/>
        <v>100.53846153846153</v>
      </c>
      <c r="AD15" s="504">
        <f t="shared" si="5"/>
        <v>86.666666666666671</v>
      </c>
      <c r="AE15" s="384">
        <v>92.6</v>
      </c>
      <c r="AF15" s="384">
        <v>100.53846153846153</v>
      </c>
    </row>
    <row r="16" spans="1:33" ht="14.25" thickBot="1" x14ac:dyDescent="0.2">
      <c r="A16" s="2">
        <f>名簿ﾘｽﾄ!B10</f>
        <v>33</v>
      </c>
      <c r="B16" s="686">
        <v>6</v>
      </c>
      <c r="C16" s="728" t="s">
        <v>662</v>
      </c>
      <c r="D16" s="724"/>
      <c r="E16" s="729">
        <v>102</v>
      </c>
      <c r="F16" s="693" t="s">
        <v>31</v>
      </c>
      <c r="G16" s="693">
        <v>100</v>
      </c>
      <c r="H16" s="693"/>
      <c r="I16" s="693">
        <v>95</v>
      </c>
      <c r="J16" s="693" t="s">
        <v>31</v>
      </c>
      <c r="K16" s="693">
        <v>96</v>
      </c>
      <c r="L16" s="693" t="s">
        <v>31</v>
      </c>
      <c r="M16" s="693" t="s">
        <v>31</v>
      </c>
      <c r="N16" s="693" t="s">
        <v>31</v>
      </c>
      <c r="O16" s="693"/>
      <c r="P16" s="732">
        <v>100</v>
      </c>
      <c r="Q16" s="693"/>
      <c r="R16" s="688">
        <v>97</v>
      </c>
      <c r="S16" s="693">
        <v>102</v>
      </c>
      <c r="T16" s="693">
        <v>112</v>
      </c>
      <c r="U16" s="693" t="s">
        <v>31</v>
      </c>
      <c r="V16" s="730">
        <v>97</v>
      </c>
      <c r="W16" s="731"/>
      <c r="X16" s="54">
        <f t="shared" si="0"/>
        <v>100.11111111111111</v>
      </c>
      <c r="Y16" s="55">
        <f t="shared" si="1"/>
        <v>9</v>
      </c>
      <c r="Z16" s="56">
        <f t="shared" si="2"/>
        <v>23</v>
      </c>
      <c r="AA16" s="57">
        <f t="shared" si="3"/>
        <v>29</v>
      </c>
      <c r="AC16" s="349">
        <f t="shared" si="4"/>
        <v>100.11111111111111</v>
      </c>
      <c r="AD16" s="504">
        <f t="shared" si="5"/>
        <v>60</v>
      </c>
      <c r="AE16" s="384">
        <v>95</v>
      </c>
      <c r="AF16" s="384">
        <v>100.11111111111111</v>
      </c>
    </row>
    <row r="17" spans="1:36" ht="14.25" thickBot="1" x14ac:dyDescent="0.2">
      <c r="A17" s="2">
        <f>名簿ﾘｽﾄ!B11</f>
        <v>44</v>
      </c>
      <c r="B17" s="686">
        <v>7</v>
      </c>
      <c r="C17" s="728" t="s">
        <v>663</v>
      </c>
      <c r="D17" s="724"/>
      <c r="E17" s="729" t="s">
        <v>31</v>
      </c>
      <c r="F17" s="693" t="s">
        <v>31</v>
      </c>
      <c r="G17" s="693" t="s">
        <v>31</v>
      </c>
      <c r="H17" s="693"/>
      <c r="I17" s="693" t="s">
        <v>31</v>
      </c>
      <c r="J17" s="693" t="s">
        <v>31</v>
      </c>
      <c r="K17" s="693" t="s">
        <v>31</v>
      </c>
      <c r="L17" s="693" t="s">
        <v>31</v>
      </c>
      <c r="M17" s="693" t="s">
        <v>31</v>
      </c>
      <c r="N17" s="693" t="s">
        <v>31</v>
      </c>
      <c r="O17" s="693"/>
      <c r="P17" s="732" t="s">
        <v>31</v>
      </c>
      <c r="Q17" s="693"/>
      <c r="R17" s="688" t="s">
        <v>31</v>
      </c>
      <c r="S17" s="693" t="s">
        <v>31</v>
      </c>
      <c r="T17" s="693" t="s">
        <v>31</v>
      </c>
      <c r="U17" s="693" t="s">
        <v>31</v>
      </c>
      <c r="V17" s="730" t="s">
        <v>31</v>
      </c>
      <c r="W17" s="731"/>
      <c r="X17" s="54" t="str">
        <f t="shared" si="0"/>
        <v/>
      </c>
      <c r="Y17" s="55">
        <f t="shared" si="1"/>
        <v>0</v>
      </c>
      <c r="Z17" s="56" t="str">
        <f t="shared" si="2"/>
        <v>*</v>
      </c>
      <c r="AA17" s="57" t="str">
        <f t="shared" si="3"/>
        <v>*</v>
      </c>
      <c r="AC17" s="349" t="str">
        <f t="shared" si="4"/>
        <v>*</v>
      </c>
      <c r="AD17" s="504">
        <f t="shared" si="5"/>
        <v>0</v>
      </c>
      <c r="AE17" s="384">
        <v>95.1</v>
      </c>
      <c r="AF17" s="384" t="s">
        <v>31</v>
      </c>
    </row>
    <row r="18" spans="1:36" ht="14.25" thickBot="1" x14ac:dyDescent="0.2">
      <c r="A18" s="2">
        <f>名簿ﾘｽﾄ!B12</f>
        <v>86</v>
      </c>
      <c r="B18" s="686">
        <v>8</v>
      </c>
      <c r="C18" s="728" t="s">
        <v>835</v>
      </c>
      <c r="D18" s="724"/>
      <c r="E18" s="729" t="s">
        <v>31</v>
      </c>
      <c r="F18" s="693" t="s">
        <v>31</v>
      </c>
      <c r="G18" s="693" t="s">
        <v>31</v>
      </c>
      <c r="H18" s="693"/>
      <c r="I18" s="693" t="s">
        <v>31</v>
      </c>
      <c r="J18" s="693" t="s">
        <v>31</v>
      </c>
      <c r="K18" s="693" t="s">
        <v>31</v>
      </c>
      <c r="L18" s="693" t="s">
        <v>31</v>
      </c>
      <c r="M18" s="693" t="s">
        <v>31</v>
      </c>
      <c r="N18" s="693" t="s">
        <v>31</v>
      </c>
      <c r="O18" s="693"/>
      <c r="P18" s="732" t="s">
        <v>31</v>
      </c>
      <c r="Q18" s="693"/>
      <c r="R18" s="688" t="s">
        <v>31</v>
      </c>
      <c r="S18" s="693" t="s">
        <v>31</v>
      </c>
      <c r="T18" s="693" t="s">
        <v>31</v>
      </c>
      <c r="U18" s="693" t="s">
        <v>31</v>
      </c>
      <c r="V18" s="730" t="s">
        <v>31</v>
      </c>
      <c r="W18" s="731"/>
      <c r="X18" s="54" t="str">
        <f t="shared" si="0"/>
        <v/>
      </c>
      <c r="Y18" s="55">
        <f t="shared" si="1"/>
        <v>0</v>
      </c>
      <c r="Z18" s="56" t="str">
        <f t="shared" si="2"/>
        <v>*</v>
      </c>
      <c r="AA18" s="57" t="str">
        <f t="shared" si="3"/>
        <v>*</v>
      </c>
      <c r="AC18" s="349" t="str">
        <f t="shared" si="4"/>
        <v>*</v>
      </c>
      <c r="AD18" s="504">
        <f t="shared" si="5"/>
        <v>0</v>
      </c>
      <c r="AE18" s="384">
        <v>89.8</v>
      </c>
      <c r="AF18" s="384" t="s">
        <v>31</v>
      </c>
    </row>
    <row r="19" spans="1:36" ht="14.25" thickBot="1" x14ac:dyDescent="0.2">
      <c r="A19" s="2">
        <f>名簿ﾘｽﾄ!B13</f>
        <v>35</v>
      </c>
      <c r="B19" s="686">
        <v>9</v>
      </c>
      <c r="C19" s="728" t="s">
        <v>664</v>
      </c>
      <c r="D19" s="724"/>
      <c r="E19" s="729">
        <v>98</v>
      </c>
      <c r="F19" s="693" t="s">
        <v>31</v>
      </c>
      <c r="G19" s="693">
        <v>96</v>
      </c>
      <c r="H19" s="693"/>
      <c r="I19" s="693">
        <v>102</v>
      </c>
      <c r="J19" s="693" t="s">
        <v>31</v>
      </c>
      <c r="K19" s="693">
        <v>95</v>
      </c>
      <c r="L19" s="693" t="s">
        <v>31</v>
      </c>
      <c r="M19" s="693" t="s">
        <v>31</v>
      </c>
      <c r="N19" s="693" t="s">
        <v>31</v>
      </c>
      <c r="O19" s="693"/>
      <c r="P19" s="732">
        <v>104</v>
      </c>
      <c r="Q19" s="693"/>
      <c r="R19" s="688">
        <v>100</v>
      </c>
      <c r="S19" s="693" t="s">
        <v>31</v>
      </c>
      <c r="T19" s="693">
        <v>100</v>
      </c>
      <c r="U19" s="693">
        <v>102</v>
      </c>
      <c r="V19" s="730" t="s">
        <v>31</v>
      </c>
      <c r="W19" s="731"/>
      <c r="X19" s="54">
        <f t="shared" si="0"/>
        <v>99.625</v>
      </c>
      <c r="Y19" s="55">
        <f t="shared" si="1"/>
        <v>8</v>
      </c>
      <c r="Z19" s="56">
        <f t="shared" si="2"/>
        <v>21</v>
      </c>
      <c r="AA19" s="57">
        <f t="shared" si="3"/>
        <v>27</v>
      </c>
      <c r="AC19" s="349">
        <f t="shared" si="4"/>
        <v>99.625</v>
      </c>
      <c r="AD19" s="504">
        <f t="shared" si="5"/>
        <v>53.333333333333336</v>
      </c>
      <c r="AE19" s="384">
        <v>90.2</v>
      </c>
      <c r="AF19" s="384">
        <v>99.625</v>
      </c>
    </row>
    <row r="20" spans="1:36" ht="14.25" thickBot="1" x14ac:dyDescent="0.2">
      <c r="A20" s="2">
        <f>名簿ﾘｽﾄ!B14</f>
        <v>13</v>
      </c>
      <c r="B20" s="686">
        <v>10</v>
      </c>
      <c r="C20" s="728" t="s">
        <v>665</v>
      </c>
      <c r="D20" s="724"/>
      <c r="E20" s="729">
        <v>123</v>
      </c>
      <c r="F20" s="693" t="s">
        <v>31</v>
      </c>
      <c r="G20" s="693">
        <v>118</v>
      </c>
      <c r="H20" s="693"/>
      <c r="I20" s="693">
        <v>119</v>
      </c>
      <c r="J20" s="693" t="s">
        <v>31</v>
      </c>
      <c r="K20" s="693">
        <v>133</v>
      </c>
      <c r="L20" s="693">
        <v>100</v>
      </c>
      <c r="M20" s="693" t="s">
        <v>31</v>
      </c>
      <c r="N20" s="693" t="s">
        <v>31</v>
      </c>
      <c r="O20" s="693"/>
      <c r="P20" s="732" t="s">
        <v>31</v>
      </c>
      <c r="Q20" s="693"/>
      <c r="R20" s="688" t="s">
        <v>31</v>
      </c>
      <c r="S20" s="693">
        <v>111</v>
      </c>
      <c r="T20" s="693" t="s">
        <v>31</v>
      </c>
      <c r="U20" s="693">
        <v>123</v>
      </c>
      <c r="V20" s="730" t="s">
        <v>31</v>
      </c>
      <c r="W20" s="731"/>
      <c r="X20" s="54">
        <f t="shared" si="0"/>
        <v>118.14285714285714</v>
      </c>
      <c r="Y20" s="55">
        <f t="shared" si="1"/>
        <v>7</v>
      </c>
      <c r="Z20" s="56" t="str">
        <f t="shared" si="2"/>
        <v>*</v>
      </c>
      <c r="AA20" s="57">
        <f t="shared" si="3"/>
        <v>42</v>
      </c>
      <c r="AC20" s="349" t="str">
        <f t="shared" si="4"/>
        <v>*</v>
      </c>
      <c r="AD20" s="504">
        <f t="shared" si="5"/>
        <v>46.666666666666671</v>
      </c>
      <c r="AE20" s="384">
        <v>122.8</v>
      </c>
      <c r="AF20" s="384">
        <v>118.14285714285714</v>
      </c>
    </row>
    <row r="21" spans="1:36" ht="14.25" thickBot="1" x14ac:dyDescent="0.2">
      <c r="A21" s="2">
        <f>名簿ﾘｽﾄ!B15</f>
        <v>68</v>
      </c>
      <c r="B21" s="686">
        <v>11</v>
      </c>
      <c r="C21" s="728" t="s">
        <v>640</v>
      </c>
      <c r="D21" s="724"/>
      <c r="E21" s="729">
        <v>106</v>
      </c>
      <c r="F21" s="693" t="s">
        <v>31</v>
      </c>
      <c r="G21" s="693" t="s">
        <v>31</v>
      </c>
      <c r="H21" s="693"/>
      <c r="I21" s="693" t="s">
        <v>31</v>
      </c>
      <c r="J21" s="693" t="s">
        <v>31</v>
      </c>
      <c r="K21" s="693">
        <v>109</v>
      </c>
      <c r="L21" s="693" t="s">
        <v>31</v>
      </c>
      <c r="M21" s="693" t="s">
        <v>31</v>
      </c>
      <c r="N21" s="693" t="s">
        <v>31</v>
      </c>
      <c r="O21" s="693"/>
      <c r="P21" s="732" t="s">
        <v>31</v>
      </c>
      <c r="Q21" s="693"/>
      <c r="R21" s="688" t="s">
        <v>31</v>
      </c>
      <c r="S21" s="693">
        <v>102</v>
      </c>
      <c r="T21" s="693" t="s">
        <v>31</v>
      </c>
      <c r="U21" s="693" t="s">
        <v>31</v>
      </c>
      <c r="V21" s="730">
        <v>98</v>
      </c>
      <c r="W21" s="731"/>
      <c r="X21" s="54">
        <f t="shared" si="0"/>
        <v>103.75</v>
      </c>
      <c r="Y21" s="55">
        <f t="shared" si="1"/>
        <v>4</v>
      </c>
      <c r="Z21" s="56" t="str">
        <f t="shared" si="2"/>
        <v>*</v>
      </c>
      <c r="AA21" s="57">
        <f t="shared" si="3"/>
        <v>36</v>
      </c>
      <c r="AC21" s="349" t="str">
        <f t="shared" si="4"/>
        <v>*</v>
      </c>
      <c r="AD21" s="504">
        <f t="shared" si="5"/>
        <v>26.666666666666668</v>
      </c>
      <c r="AE21" s="384">
        <v>98.8</v>
      </c>
      <c r="AF21" s="384">
        <v>103.75</v>
      </c>
    </row>
    <row r="22" spans="1:36" ht="14.25" thickBot="1" x14ac:dyDescent="0.2">
      <c r="A22" s="2">
        <f>名簿ﾘｽﾄ!B16</f>
        <v>59</v>
      </c>
      <c r="B22" s="686">
        <v>12</v>
      </c>
      <c r="C22" s="728" t="s">
        <v>632</v>
      </c>
      <c r="D22" s="724"/>
      <c r="E22" s="729">
        <v>97</v>
      </c>
      <c r="F22" s="693" t="s">
        <v>31</v>
      </c>
      <c r="G22" s="693">
        <v>90</v>
      </c>
      <c r="H22" s="693"/>
      <c r="I22" s="693">
        <v>94</v>
      </c>
      <c r="J22" s="693" t="s">
        <v>31</v>
      </c>
      <c r="K22" s="693">
        <v>95</v>
      </c>
      <c r="L22" s="693" t="s">
        <v>31</v>
      </c>
      <c r="M22" s="693">
        <v>89</v>
      </c>
      <c r="N22" s="693">
        <v>93</v>
      </c>
      <c r="O22" s="693"/>
      <c r="P22" s="732" t="s">
        <v>31</v>
      </c>
      <c r="Q22" s="693"/>
      <c r="R22" s="688">
        <v>90</v>
      </c>
      <c r="S22" s="693">
        <v>89</v>
      </c>
      <c r="T22" s="693">
        <v>95</v>
      </c>
      <c r="U22" s="693" t="s">
        <v>31</v>
      </c>
      <c r="V22" s="730">
        <v>98</v>
      </c>
      <c r="W22" s="731"/>
      <c r="X22" s="54">
        <f t="shared" si="0"/>
        <v>93</v>
      </c>
      <c r="Y22" s="55">
        <f t="shared" si="1"/>
        <v>10</v>
      </c>
      <c r="Z22" s="56">
        <f t="shared" si="2"/>
        <v>12</v>
      </c>
      <c r="AA22" s="57">
        <f t="shared" si="3"/>
        <v>13</v>
      </c>
      <c r="AC22" s="349">
        <f t="shared" si="4"/>
        <v>93</v>
      </c>
      <c r="AD22" s="504">
        <f t="shared" si="5"/>
        <v>66.666666666666671</v>
      </c>
      <c r="AE22" s="384">
        <v>88.3</v>
      </c>
      <c r="AF22" s="384">
        <v>93</v>
      </c>
    </row>
    <row r="23" spans="1:36" ht="14.25" thickBot="1" x14ac:dyDescent="0.2">
      <c r="A23" s="2">
        <f>名簿ﾘｽﾄ!B17</f>
        <v>22</v>
      </c>
      <c r="B23" s="686">
        <v>13</v>
      </c>
      <c r="C23" s="728" t="s">
        <v>666</v>
      </c>
      <c r="D23" s="724"/>
      <c r="E23" s="729" t="s">
        <v>31</v>
      </c>
      <c r="F23" s="693" t="s">
        <v>31</v>
      </c>
      <c r="G23" s="693" t="s">
        <v>31</v>
      </c>
      <c r="H23" s="693"/>
      <c r="I23" s="693" t="s">
        <v>31</v>
      </c>
      <c r="J23" s="693" t="s">
        <v>31</v>
      </c>
      <c r="K23" s="693" t="s">
        <v>31</v>
      </c>
      <c r="L23" s="693" t="s">
        <v>31</v>
      </c>
      <c r="M23" s="693" t="s">
        <v>31</v>
      </c>
      <c r="N23" s="693" t="s">
        <v>31</v>
      </c>
      <c r="O23" s="693"/>
      <c r="P23" s="732" t="s">
        <v>31</v>
      </c>
      <c r="Q23" s="693"/>
      <c r="R23" s="688" t="s">
        <v>31</v>
      </c>
      <c r="S23" s="693" t="s">
        <v>31</v>
      </c>
      <c r="T23" s="693" t="s">
        <v>31</v>
      </c>
      <c r="U23" s="693" t="s">
        <v>31</v>
      </c>
      <c r="V23" s="730" t="s">
        <v>31</v>
      </c>
      <c r="W23" s="731"/>
      <c r="X23" s="54" t="str">
        <f t="shared" si="0"/>
        <v/>
      </c>
      <c r="Y23" s="55">
        <f t="shared" si="1"/>
        <v>0</v>
      </c>
      <c r="Z23" s="56" t="str">
        <f t="shared" si="2"/>
        <v>*</v>
      </c>
      <c r="AA23" s="57" t="str">
        <f t="shared" si="3"/>
        <v>*</v>
      </c>
      <c r="AC23" s="349" t="str">
        <f t="shared" si="4"/>
        <v>*</v>
      </c>
      <c r="AD23" s="504">
        <f t="shared" si="5"/>
        <v>0</v>
      </c>
      <c r="AE23" s="384">
        <v>95.3</v>
      </c>
      <c r="AF23" s="384" t="s">
        <v>31</v>
      </c>
    </row>
    <row r="24" spans="1:36" ht="14.25" thickBot="1" x14ac:dyDescent="0.2">
      <c r="A24" s="2">
        <f>名簿ﾘｽﾄ!B18</f>
        <v>60</v>
      </c>
      <c r="B24" s="686">
        <v>14</v>
      </c>
      <c r="C24" s="728" t="s">
        <v>641</v>
      </c>
      <c r="D24" s="724"/>
      <c r="E24" s="729" t="s">
        <v>31</v>
      </c>
      <c r="F24" s="693" t="s">
        <v>31</v>
      </c>
      <c r="G24" s="693" t="s">
        <v>31</v>
      </c>
      <c r="H24" s="693"/>
      <c r="I24" s="693" t="s">
        <v>31</v>
      </c>
      <c r="J24" s="693" t="s">
        <v>31</v>
      </c>
      <c r="K24" s="693" t="s">
        <v>31</v>
      </c>
      <c r="L24" s="693" t="s">
        <v>31</v>
      </c>
      <c r="M24" s="693" t="s">
        <v>31</v>
      </c>
      <c r="N24" s="693" t="s">
        <v>31</v>
      </c>
      <c r="O24" s="693"/>
      <c r="P24" s="732">
        <v>97</v>
      </c>
      <c r="Q24" s="693"/>
      <c r="R24" s="688">
        <v>98</v>
      </c>
      <c r="S24" s="693">
        <v>87</v>
      </c>
      <c r="T24" s="693">
        <v>92</v>
      </c>
      <c r="U24" s="693">
        <v>88</v>
      </c>
      <c r="V24" s="730">
        <v>102</v>
      </c>
      <c r="W24" s="731"/>
      <c r="X24" s="54">
        <f t="shared" si="0"/>
        <v>94</v>
      </c>
      <c r="Y24" s="55">
        <f t="shared" si="1"/>
        <v>6</v>
      </c>
      <c r="Z24" s="56" t="str">
        <f t="shared" si="2"/>
        <v>*</v>
      </c>
      <c r="AA24" s="57">
        <f t="shared" si="3"/>
        <v>16</v>
      </c>
      <c r="AC24" s="349" t="str">
        <f t="shared" si="4"/>
        <v>*</v>
      </c>
      <c r="AD24" s="504">
        <f t="shared" si="5"/>
        <v>40</v>
      </c>
      <c r="AE24" s="384">
        <v>85.5</v>
      </c>
      <c r="AF24" s="384">
        <v>94</v>
      </c>
    </row>
    <row r="25" spans="1:36" ht="14.25" thickBot="1" x14ac:dyDescent="0.2">
      <c r="A25" s="2">
        <f>名簿ﾘｽﾄ!B19</f>
        <v>37</v>
      </c>
      <c r="B25" s="686">
        <v>15</v>
      </c>
      <c r="C25" s="728" t="s">
        <v>630</v>
      </c>
      <c r="D25" s="724"/>
      <c r="E25" s="729" t="s">
        <v>31</v>
      </c>
      <c r="F25" s="693" t="s">
        <v>31</v>
      </c>
      <c r="G25" s="693" t="s">
        <v>31</v>
      </c>
      <c r="H25" s="693"/>
      <c r="I25" s="693" t="s">
        <v>31</v>
      </c>
      <c r="J25" s="693" t="s">
        <v>31</v>
      </c>
      <c r="K25" s="693" t="s">
        <v>31</v>
      </c>
      <c r="L25" s="693" t="s">
        <v>31</v>
      </c>
      <c r="M25" s="693" t="s">
        <v>31</v>
      </c>
      <c r="N25" s="693" t="s">
        <v>31</v>
      </c>
      <c r="O25" s="693"/>
      <c r="P25" s="732" t="s">
        <v>31</v>
      </c>
      <c r="Q25" s="693"/>
      <c r="R25" s="688" t="s">
        <v>31</v>
      </c>
      <c r="S25" s="693" t="s">
        <v>31</v>
      </c>
      <c r="T25" s="693" t="s">
        <v>31</v>
      </c>
      <c r="U25" s="693" t="s">
        <v>31</v>
      </c>
      <c r="V25" s="730" t="s">
        <v>31</v>
      </c>
      <c r="W25" s="731"/>
      <c r="X25" s="54" t="str">
        <f t="shared" si="0"/>
        <v/>
      </c>
      <c r="Y25" s="55">
        <f t="shared" si="1"/>
        <v>0</v>
      </c>
      <c r="Z25" s="56" t="str">
        <f t="shared" si="2"/>
        <v>*</v>
      </c>
      <c r="AA25" s="57" t="str">
        <f t="shared" si="3"/>
        <v>*</v>
      </c>
      <c r="AC25" s="349" t="str">
        <f t="shared" si="4"/>
        <v>*</v>
      </c>
      <c r="AD25" s="504">
        <f t="shared" si="5"/>
        <v>0</v>
      </c>
      <c r="AE25" s="384">
        <v>94.3</v>
      </c>
      <c r="AF25" s="384" t="s">
        <v>31</v>
      </c>
      <c r="AJ25"/>
    </row>
    <row r="26" spans="1:36" ht="14.25" thickBot="1" x14ac:dyDescent="0.2">
      <c r="A26" s="2">
        <f>名簿ﾘｽﾄ!B20</f>
        <v>42</v>
      </c>
      <c r="B26" s="686">
        <v>16</v>
      </c>
      <c r="C26" s="728" t="s">
        <v>639</v>
      </c>
      <c r="D26" s="724"/>
      <c r="E26" s="729">
        <v>86</v>
      </c>
      <c r="F26" s="693" t="s">
        <v>31</v>
      </c>
      <c r="G26" s="693" t="s">
        <v>31</v>
      </c>
      <c r="H26" s="693"/>
      <c r="I26" s="693">
        <v>87</v>
      </c>
      <c r="J26" s="693" t="s">
        <v>31</v>
      </c>
      <c r="K26" s="693" t="s">
        <v>31</v>
      </c>
      <c r="L26" s="693" t="s">
        <v>31</v>
      </c>
      <c r="M26" s="693">
        <v>79</v>
      </c>
      <c r="N26" s="693">
        <v>78</v>
      </c>
      <c r="O26" s="693"/>
      <c r="P26" s="732">
        <v>84</v>
      </c>
      <c r="Q26" s="693"/>
      <c r="R26" s="688">
        <v>98</v>
      </c>
      <c r="S26" s="693">
        <v>82</v>
      </c>
      <c r="T26" s="693" t="s">
        <v>31</v>
      </c>
      <c r="U26" s="693">
        <v>83</v>
      </c>
      <c r="V26" s="730">
        <v>80</v>
      </c>
      <c r="W26" s="731"/>
      <c r="X26" s="54">
        <f t="shared" si="0"/>
        <v>84.111111111111114</v>
      </c>
      <c r="Y26" s="55">
        <f t="shared" si="1"/>
        <v>9</v>
      </c>
      <c r="Z26" s="56">
        <f t="shared" si="2"/>
        <v>2</v>
      </c>
      <c r="AA26" s="57">
        <f t="shared" si="3"/>
        <v>2</v>
      </c>
      <c r="AC26" s="349">
        <f t="shared" si="4"/>
        <v>84.111111111111114</v>
      </c>
      <c r="AD26" s="504">
        <f t="shared" si="5"/>
        <v>60</v>
      </c>
      <c r="AE26" s="384">
        <v>79.5</v>
      </c>
      <c r="AF26" s="384">
        <v>84.111111111111114</v>
      </c>
    </row>
    <row r="27" spans="1:36" ht="14.25" thickBot="1" x14ac:dyDescent="0.2">
      <c r="A27" s="2">
        <f>名簿ﾘｽﾄ!B21</f>
        <v>45</v>
      </c>
      <c r="B27" s="686">
        <v>17</v>
      </c>
      <c r="C27" s="728" t="s">
        <v>642</v>
      </c>
      <c r="D27" s="724"/>
      <c r="E27" s="729" t="s">
        <v>31</v>
      </c>
      <c r="F27" s="693" t="s">
        <v>31</v>
      </c>
      <c r="G27" s="693" t="s">
        <v>31</v>
      </c>
      <c r="H27" s="693"/>
      <c r="I27" s="693" t="s">
        <v>31</v>
      </c>
      <c r="J27" s="693" t="s">
        <v>31</v>
      </c>
      <c r="K27" s="693" t="s">
        <v>31</v>
      </c>
      <c r="L27" s="693" t="s">
        <v>31</v>
      </c>
      <c r="M27" s="693" t="s">
        <v>31</v>
      </c>
      <c r="N27" s="693" t="s">
        <v>31</v>
      </c>
      <c r="O27" s="693"/>
      <c r="P27" s="732" t="s">
        <v>31</v>
      </c>
      <c r="Q27" s="693"/>
      <c r="R27" s="688" t="s">
        <v>31</v>
      </c>
      <c r="S27" s="693" t="s">
        <v>31</v>
      </c>
      <c r="T27" s="693" t="s">
        <v>31</v>
      </c>
      <c r="U27" s="693" t="s">
        <v>31</v>
      </c>
      <c r="V27" s="730" t="s">
        <v>31</v>
      </c>
      <c r="W27" s="731"/>
      <c r="X27" s="54" t="str">
        <f t="shared" si="0"/>
        <v/>
      </c>
      <c r="Y27" s="55">
        <f t="shared" si="1"/>
        <v>0</v>
      </c>
      <c r="Z27" s="56" t="str">
        <f t="shared" si="2"/>
        <v>*</v>
      </c>
      <c r="AA27" s="57" t="str">
        <f t="shared" si="3"/>
        <v>*</v>
      </c>
      <c r="AC27" s="349" t="str">
        <f t="shared" si="4"/>
        <v>*</v>
      </c>
      <c r="AD27" s="504">
        <f t="shared" si="5"/>
        <v>0</v>
      </c>
      <c r="AE27" s="384">
        <v>101.7</v>
      </c>
      <c r="AF27" s="384" t="s">
        <v>31</v>
      </c>
    </row>
    <row r="28" spans="1:36" ht="14.25" thickBot="1" x14ac:dyDescent="0.2">
      <c r="A28" s="2">
        <f>名簿ﾘｽﾄ!B22</f>
        <v>74</v>
      </c>
      <c r="B28" s="686">
        <v>18</v>
      </c>
      <c r="C28" s="728" t="s">
        <v>667</v>
      </c>
      <c r="D28" s="724"/>
      <c r="E28" s="729">
        <v>95</v>
      </c>
      <c r="F28" s="693" t="s">
        <v>31</v>
      </c>
      <c r="G28" s="693">
        <v>83</v>
      </c>
      <c r="H28" s="693"/>
      <c r="I28" s="693">
        <v>86</v>
      </c>
      <c r="J28" s="693" t="s">
        <v>31</v>
      </c>
      <c r="K28" s="693" t="s">
        <v>31</v>
      </c>
      <c r="L28" s="693" t="s">
        <v>31</v>
      </c>
      <c r="M28" s="693">
        <v>90</v>
      </c>
      <c r="N28" s="693" t="s">
        <v>31</v>
      </c>
      <c r="O28" s="693"/>
      <c r="P28" s="732">
        <v>93</v>
      </c>
      <c r="Q28" s="693"/>
      <c r="R28" s="688">
        <v>89</v>
      </c>
      <c r="S28" s="693">
        <v>91</v>
      </c>
      <c r="T28" s="693" t="s">
        <v>31</v>
      </c>
      <c r="U28" s="693">
        <v>101</v>
      </c>
      <c r="V28" s="730">
        <v>100</v>
      </c>
      <c r="W28" s="731"/>
      <c r="X28" s="54">
        <f t="shared" si="0"/>
        <v>92</v>
      </c>
      <c r="Y28" s="55">
        <f t="shared" si="1"/>
        <v>9</v>
      </c>
      <c r="Z28" s="56">
        <f t="shared" si="2"/>
        <v>9</v>
      </c>
      <c r="AA28" s="57">
        <f t="shared" si="3"/>
        <v>10</v>
      </c>
      <c r="AC28" s="349">
        <f t="shared" si="4"/>
        <v>92</v>
      </c>
      <c r="AD28" s="504">
        <f t="shared" si="5"/>
        <v>60</v>
      </c>
      <c r="AE28" s="695" t="s">
        <v>693</v>
      </c>
      <c r="AF28" s="384">
        <v>92</v>
      </c>
    </row>
    <row r="29" spans="1:36" ht="14.25" thickBot="1" x14ac:dyDescent="0.2">
      <c r="A29" s="2">
        <f>名簿ﾘｽﾄ!B23</f>
        <v>18</v>
      </c>
      <c r="B29" s="686">
        <v>19</v>
      </c>
      <c r="C29" s="728" t="s">
        <v>668</v>
      </c>
      <c r="D29" s="724"/>
      <c r="E29" s="729" t="s">
        <v>31</v>
      </c>
      <c r="F29" s="693" t="s">
        <v>31</v>
      </c>
      <c r="G29" s="693" t="s">
        <v>31</v>
      </c>
      <c r="H29" s="693"/>
      <c r="I29" s="693" t="s">
        <v>31</v>
      </c>
      <c r="J29" s="693" t="s">
        <v>31</v>
      </c>
      <c r="K29" s="693" t="s">
        <v>31</v>
      </c>
      <c r="L29" s="693" t="s">
        <v>31</v>
      </c>
      <c r="M29" s="693" t="s">
        <v>31</v>
      </c>
      <c r="N29" s="693" t="s">
        <v>31</v>
      </c>
      <c r="O29" s="693"/>
      <c r="P29" s="732" t="s">
        <v>31</v>
      </c>
      <c r="Q29" s="693"/>
      <c r="R29" s="688" t="s">
        <v>31</v>
      </c>
      <c r="S29" s="693" t="s">
        <v>31</v>
      </c>
      <c r="T29" s="693" t="s">
        <v>31</v>
      </c>
      <c r="U29" s="693" t="s">
        <v>31</v>
      </c>
      <c r="V29" s="730" t="s">
        <v>31</v>
      </c>
      <c r="W29" s="731"/>
      <c r="X29" s="54" t="str">
        <f t="shared" si="0"/>
        <v/>
      </c>
      <c r="Y29" s="55">
        <f t="shared" si="1"/>
        <v>0</v>
      </c>
      <c r="Z29" s="56" t="str">
        <f t="shared" si="2"/>
        <v>*</v>
      </c>
      <c r="AA29" s="57" t="str">
        <f t="shared" si="3"/>
        <v>*</v>
      </c>
      <c r="AC29" s="349" t="str">
        <f t="shared" si="4"/>
        <v>*</v>
      </c>
      <c r="AD29" s="504">
        <f t="shared" si="5"/>
        <v>0</v>
      </c>
      <c r="AE29" s="696">
        <v>92</v>
      </c>
      <c r="AF29" s="449" t="s">
        <v>31</v>
      </c>
    </row>
    <row r="30" spans="1:36" ht="14.25" thickBot="1" x14ac:dyDescent="0.2">
      <c r="A30" s="2">
        <f>名簿ﾘｽﾄ!B24</f>
        <v>63</v>
      </c>
      <c r="B30" s="686">
        <v>20</v>
      </c>
      <c r="C30" s="728" t="s">
        <v>645</v>
      </c>
      <c r="D30" s="724"/>
      <c r="E30" s="729" t="s">
        <v>31</v>
      </c>
      <c r="F30" s="693">
        <v>91</v>
      </c>
      <c r="G30" s="693">
        <v>86</v>
      </c>
      <c r="H30" s="693"/>
      <c r="I30" s="693" t="s">
        <v>31</v>
      </c>
      <c r="J30" s="693" t="s">
        <v>31</v>
      </c>
      <c r="K30" s="693">
        <v>96</v>
      </c>
      <c r="L30" s="693">
        <v>90</v>
      </c>
      <c r="M30" s="693">
        <v>92</v>
      </c>
      <c r="N30" s="693" t="s">
        <v>31</v>
      </c>
      <c r="O30" s="693"/>
      <c r="P30" s="732" t="s">
        <v>31</v>
      </c>
      <c r="Q30" s="693"/>
      <c r="R30" s="688">
        <v>93</v>
      </c>
      <c r="S30" s="693">
        <v>94</v>
      </c>
      <c r="T30" s="693">
        <v>99</v>
      </c>
      <c r="U30" s="693" t="s">
        <v>31</v>
      </c>
      <c r="V30" s="730">
        <v>101</v>
      </c>
      <c r="W30" s="731"/>
      <c r="X30" s="54">
        <f t="shared" si="0"/>
        <v>93.555555555555557</v>
      </c>
      <c r="Y30" s="55">
        <f t="shared" si="1"/>
        <v>9</v>
      </c>
      <c r="Z30" s="56">
        <f t="shared" si="2"/>
        <v>13</v>
      </c>
      <c r="AA30" s="57">
        <f t="shared" si="3"/>
        <v>15</v>
      </c>
      <c r="AC30" s="349">
        <f t="shared" si="4"/>
        <v>93.555555555555557</v>
      </c>
      <c r="AD30" s="504">
        <f t="shared" si="5"/>
        <v>60</v>
      </c>
      <c r="AE30" s="450">
        <v>97.2</v>
      </c>
      <c r="AF30" s="450">
        <v>93.555555555555557</v>
      </c>
    </row>
    <row r="31" spans="1:36" ht="14.25" thickBot="1" x14ac:dyDescent="0.2">
      <c r="A31" s="2">
        <f>名簿ﾘｽﾄ!B25</f>
        <v>27</v>
      </c>
      <c r="B31" s="686">
        <v>21</v>
      </c>
      <c r="C31" s="728" t="s">
        <v>669</v>
      </c>
      <c r="D31" s="724"/>
      <c r="E31" s="729" t="s">
        <v>31</v>
      </c>
      <c r="F31" s="693" t="s">
        <v>31</v>
      </c>
      <c r="G31" s="693" t="s">
        <v>31</v>
      </c>
      <c r="H31" s="693"/>
      <c r="I31" s="693" t="s">
        <v>31</v>
      </c>
      <c r="J31" s="693" t="s">
        <v>31</v>
      </c>
      <c r="K31" s="693" t="s">
        <v>31</v>
      </c>
      <c r="L31" s="693" t="s">
        <v>31</v>
      </c>
      <c r="M31" s="693" t="s">
        <v>31</v>
      </c>
      <c r="N31" s="693" t="s">
        <v>31</v>
      </c>
      <c r="O31" s="693"/>
      <c r="P31" s="732" t="s">
        <v>31</v>
      </c>
      <c r="Q31" s="693"/>
      <c r="R31" s="688" t="s">
        <v>31</v>
      </c>
      <c r="S31" s="693" t="s">
        <v>31</v>
      </c>
      <c r="T31" s="693" t="s">
        <v>31</v>
      </c>
      <c r="U31" s="693" t="s">
        <v>31</v>
      </c>
      <c r="V31" s="730" t="s">
        <v>31</v>
      </c>
      <c r="W31" s="731"/>
      <c r="X31" s="54" t="str">
        <f t="shared" si="0"/>
        <v/>
      </c>
      <c r="Y31" s="55">
        <f t="shared" si="1"/>
        <v>0</v>
      </c>
      <c r="Z31" s="56" t="str">
        <f t="shared" si="2"/>
        <v>*</v>
      </c>
      <c r="AA31" s="57" t="str">
        <f t="shared" si="3"/>
        <v>*</v>
      </c>
      <c r="AC31" s="349" t="str">
        <f t="shared" si="4"/>
        <v>*</v>
      </c>
      <c r="AD31" s="504">
        <f t="shared" si="5"/>
        <v>0</v>
      </c>
      <c r="AE31" s="696" t="s">
        <v>693</v>
      </c>
      <c r="AF31" s="449" t="s">
        <v>31</v>
      </c>
    </row>
    <row r="32" spans="1:36" ht="14.25" thickBot="1" x14ac:dyDescent="0.2">
      <c r="A32" s="2">
        <f>名簿ﾘｽﾄ!B26</f>
        <v>87</v>
      </c>
      <c r="B32" s="686">
        <v>22</v>
      </c>
      <c r="C32" s="728" t="s">
        <v>836</v>
      </c>
      <c r="D32" s="724"/>
      <c r="E32" s="729" t="s">
        <v>31</v>
      </c>
      <c r="F32" s="693" t="s">
        <v>31</v>
      </c>
      <c r="G32" s="693">
        <v>88</v>
      </c>
      <c r="H32" s="693"/>
      <c r="I32" s="693">
        <v>93</v>
      </c>
      <c r="J32" s="693">
        <v>97</v>
      </c>
      <c r="K32" s="693">
        <v>93</v>
      </c>
      <c r="L32" s="693">
        <v>99</v>
      </c>
      <c r="M32" s="693">
        <v>83</v>
      </c>
      <c r="N32" s="693">
        <v>88</v>
      </c>
      <c r="O32" s="693"/>
      <c r="P32" s="732">
        <v>86</v>
      </c>
      <c r="Q32" s="693"/>
      <c r="R32" s="688">
        <v>93</v>
      </c>
      <c r="S32" s="693">
        <v>100</v>
      </c>
      <c r="T32" s="693">
        <v>92</v>
      </c>
      <c r="U32" s="693">
        <v>90</v>
      </c>
      <c r="V32" s="730">
        <v>98</v>
      </c>
      <c r="W32" s="731"/>
      <c r="X32" s="54">
        <f t="shared" si="0"/>
        <v>92.307692307692307</v>
      </c>
      <c r="Y32" s="55">
        <f t="shared" si="1"/>
        <v>13</v>
      </c>
      <c r="Z32" s="56">
        <f t="shared" si="2"/>
        <v>10</v>
      </c>
      <c r="AA32" s="57">
        <f t="shared" si="3"/>
        <v>11</v>
      </c>
      <c r="AC32" s="349">
        <f t="shared" si="4"/>
        <v>92.307692307692307</v>
      </c>
      <c r="AD32" s="504">
        <f t="shared" si="5"/>
        <v>86.666666666666671</v>
      </c>
      <c r="AE32" s="384">
        <v>87.3</v>
      </c>
      <c r="AF32" s="384">
        <v>92.307692307692307</v>
      </c>
    </row>
    <row r="33" spans="1:32" ht="14.25" thickBot="1" x14ac:dyDescent="0.2">
      <c r="A33" s="2">
        <f>名簿ﾘｽﾄ!B27</f>
        <v>64</v>
      </c>
      <c r="B33" s="686">
        <v>23</v>
      </c>
      <c r="C33" s="728" t="s">
        <v>719</v>
      </c>
      <c r="D33" s="724"/>
      <c r="E33" s="729">
        <v>119</v>
      </c>
      <c r="F33" s="693">
        <v>125</v>
      </c>
      <c r="G33" s="693" t="s">
        <v>31</v>
      </c>
      <c r="H33" s="693"/>
      <c r="I33" s="693">
        <v>113</v>
      </c>
      <c r="J33" s="693" t="s">
        <v>31</v>
      </c>
      <c r="K33" s="693">
        <v>111</v>
      </c>
      <c r="L33" s="693" t="s">
        <v>31</v>
      </c>
      <c r="M33" s="693">
        <v>104</v>
      </c>
      <c r="N33" s="693">
        <v>107</v>
      </c>
      <c r="O33" s="693"/>
      <c r="P33" s="732">
        <v>99</v>
      </c>
      <c r="Q33" s="693"/>
      <c r="R33" s="688">
        <v>106</v>
      </c>
      <c r="S33" s="693">
        <v>111</v>
      </c>
      <c r="T33" s="693" t="s">
        <v>31</v>
      </c>
      <c r="U33" s="693">
        <v>95</v>
      </c>
      <c r="V33" s="730">
        <v>110</v>
      </c>
      <c r="W33" s="731"/>
      <c r="X33" s="54">
        <f t="shared" si="0"/>
        <v>109.09090909090909</v>
      </c>
      <c r="Y33" s="55">
        <f t="shared" si="1"/>
        <v>11</v>
      </c>
      <c r="Z33" s="56">
        <f t="shared" si="2"/>
        <v>28</v>
      </c>
      <c r="AA33" s="57">
        <f t="shared" si="3"/>
        <v>40</v>
      </c>
      <c r="AC33" s="349">
        <f t="shared" si="4"/>
        <v>109.09090909090909</v>
      </c>
      <c r="AD33" s="504">
        <f t="shared" si="5"/>
        <v>73.333333333333343</v>
      </c>
      <c r="AE33" s="384">
        <v>98.2</v>
      </c>
      <c r="AF33" s="384">
        <v>109.09090909090909</v>
      </c>
    </row>
    <row r="34" spans="1:32" ht="14.25" thickBot="1" x14ac:dyDescent="0.2">
      <c r="A34" s="2">
        <f>名簿ﾘｽﾄ!B28</f>
        <v>25</v>
      </c>
      <c r="B34" s="686">
        <v>24</v>
      </c>
      <c r="C34" s="728" t="s">
        <v>670</v>
      </c>
      <c r="D34" s="724"/>
      <c r="E34" s="729">
        <v>84</v>
      </c>
      <c r="F34" s="693" t="s">
        <v>31</v>
      </c>
      <c r="G34" s="693">
        <v>81</v>
      </c>
      <c r="H34" s="693"/>
      <c r="I34" s="693">
        <v>92</v>
      </c>
      <c r="J34" s="693">
        <v>81</v>
      </c>
      <c r="K34" s="693">
        <v>86</v>
      </c>
      <c r="L34" s="693">
        <v>84</v>
      </c>
      <c r="M34" s="693">
        <v>86</v>
      </c>
      <c r="N34" s="693" t="s">
        <v>31</v>
      </c>
      <c r="O34" s="693"/>
      <c r="P34" s="732">
        <v>79</v>
      </c>
      <c r="Q34" s="693"/>
      <c r="R34" s="688">
        <v>82</v>
      </c>
      <c r="S34" s="693">
        <v>81</v>
      </c>
      <c r="T34" s="693">
        <v>85</v>
      </c>
      <c r="U34" s="693">
        <v>83</v>
      </c>
      <c r="V34" s="730">
        <v>88</v>
      </c>
      <c r="W34" s="731"/>
      <c r="X34" s="54">
        <f t="shared" si="0"/>
        <v>84</v>
      </c>
      <c r="Y34" s="55">
        <f t="shared" si="1"/>
        <v>13</v>
      </c>
      <c r="Z34" s="56">
        <f t="shared" si="2"/>
        <v>1</v>
      </c>
      <c r="AA34" s="57">
        <f t="shared" si="3"/>
        <v>1</v>
      </c>
      <c r="AC34" s="349">
        <f t="shared" si="4"/>
        <v>84</v>
      </c>
      <c r="AD34" s="504">
        <f t="shared" si="5"/>
        <v>86.666666666666671</v>
      </c>
      <c r="AE34" s="384">
        <v>85.3</v>
      </c>
      <c r="AF34" s="384">
        <v>84</v>
      </c>
    </row>
    <row r="35" spans="1:32" ht="14.25" thickBot="1" x14ac:dyDescent="0.2">
      <c r="A35" s="2">
        <f>名簿ﾘｽﾄ!B29</f>
        <v>34</v>
      </c>
      <c r="B35" s="686">
        <v>25</v>
      </c>
      <c r="C35" s="728" t="s">
        <v>671</v>
      </c>
      <c r="D35" s="724"/>
      <c r="E35" s="729">
        <v>101</v>
      </c>
      <c r="F35" s="693">
        <v>96</v>
      </c>
      <c r="G35" s="693">
        <v>94</v>
      </c>
      <c r="H35" s="693"/>
      <c r="I35" s="693">
        <v>97</v>
      </c>
      <c r="J35" s="693">
        <v>92</v>
      </c>
      <c r="K35" s="693">
        <v>94</v>
      </c>
      <c r="L35" s="693" t="s">
        <v>31</v>
      </c>
      <c r="M35" s="693">
        <v>88</v>
      </c>
      <c r="N35" s="693">
        <v>100</v>
      </c>
      <c r="O35" s="693"/>
      <c r="P35" s="732">
        <v>95</v>
      </c>
      <c r="Q35" s="693"/>
      <c r="R35" s="688" t="s">
        <v>31</v>
      </c>
      <c r="S35" s="693">
        <v>93</v>
      </c>
      <c r="T35" s="693" t="s">
        <v>31</v>
      </c>
      <c r="U35" s="693">
        <v>99</v>
      </c>
      <c r="V35" s="730">
        <v>94</v>
      </c>
      <c r="W35" s="731"/>
      <c r="X35" s="54">
        <f t="shared" si="0"/>
        <v>95.25</v>
      </c>
      <c r="Y35" s="55">
        <f t="shared" si="1"/>
        <v>12</v>
      </c>
      <c r="Z35" s="56">
        <f t="shared" si="2"/>
        <v>17</v>
      </c>
      <c r="AA35" s="57">
        <f t="shared" si="3"/>
        <v>21</v>
      </c>
      <c r="AC35" s="349">
        <f t="shared" si="4"/>
        <v>95.25</v>
      </c>
      <c r="AD35" s="504">
        <f t="shared" si="5"/>
        <v>80</v>
      </c>
      <c r="AE35" s="384">
        <v>102.3</v>
      </c>
      <c r="AF35" s="384">
        <v>95.25</v>
      </c>
    </row>
    <row r="36" spans="1:32" ht="14.25" thickBot="1" x14ac:dyDescent="0.2">
      <c r="A36" s="2">
        <f>名簿ﾘｽﾄ!B30</f>
        <v>54</v>
      </c>
      <c r="B36" s="686">
        <v>26</v>
      </c>
      <c r="C36" s="728" t="s">
        <v>644</v>
      </c>
      <c r="D36" s="724"/>
      <c r="E36" s="729">
        <v>97</v>
      </c>
      <c r="F36" s="693">
        <v>96</v>
      </c>
      <c r="G36" s="693">
        <v>82</v>
      </c>
      <c r="H36" s="693"/>
      <c r="I36" s="693">
        <v>89</v>
      </c>
      <c r="J36" s="693">
        <v>89</v>
      </c>
      <c r="K36" s="693">
        <v>99</v>
      </c>
      <c r="L36" s="693">
        <v>86</v>
      </c>
      <c r="M36" s="693">
        <v>89</v>
      </c>
      <c r="N36" s="693">
        <v>84</v>
      </c>
      <c r="O36" s="693"/>
      <c r="P36" s="732">
        <v>92</v>
      </c>
      <c r="Q36" s="693"/>
      <c r="R36" s="688">
        <v>95</v>
      </c>
      <c r="S36" s="693">
        <v>98</v>
      </c>
      <c r="T36" s="693">
        <v>95</v>
      </c>
      <c r="U36" s="693">
        <v>94</v>
      </c>
      <c r="V36" s="730">
        <v>102</v>
      </c>
      <c r="W36" s="731"/>
      <c r="X36" s="54">
        <f t="shared" si="0"/>
        <v>92.466666666666669</v>
      </c>
      <c r="Y36" s="55">
        <f t="shared" si="1"/>
        <v>15</v>
      </c>
      <c r="Z36" s="56">
        <f t="shared" si="2"/>
        <v>11</v>
      </c>
      <c r="AA36" s="57">
        <f t="shared" si="3"/>
        <v>12</v>
      </c>
      <c r="AC36" s="349">
        <f t="shared" si="4"/>
        <v>92.466666666666669</v>
      </c>
      <c r="AD36" s="504">
        <f t="shared" si="5"/>
        <v>100</v>
      </c>
      <c r="AE36" s="384">
        <v>87.9</v>
      </c>
      <c r="AF36" s="384">
        <v>92.466666666666669</v>
      </c>
    </row>
    <row r="37" spans="1:32" ht="14.25" thickBot="1" x14ac:dyDescent="0.2">
      <c r="A37" s="2">
        <f>名簿ﾘｽﾄ!B31</f>
        <v>75</v>
      </c>
      <c r="B37" s="686">
        <v>27</v>
      </c>
      <c r="C37" s="728" t="s">
        <v>672</v>
      </c>
      <c r="D37" s="724"/>
      <c r="E37" s="729" t="s">
        <v>31</v>
      </c>
      <c r="F37" s="693" t="s">
        <v>31</v>
      </c>
      <c r="G37" s="693" t="s">
        <v>31</v>
      </c>
      <c r="H37" s="693"/>
      <c r="I37" s="693" t="s">
        <v>31</v>
      </c>
      <c r="J37" s="693" t="s">
        <v>31</v>
      </c>
      <c r="K37" s="693" t="s">
        <v>31</v>
      </c>
      <c r="L37" s="693" t="s">
        <v>31</v>
      </c>
      <c r="M37" s="693" t="s">
        <v>31</v>
      </c>
      <c r="N37" s="693" t="s">
        <v>31</v>
      </c>
      <c r="O37" s="693"/>
      <c r="P37" s="732" t="s">
        <v>31</v>
      </c>
      <c r="Q37" s="693"/>
      <c r="R37" s="688" t="s">
        <v>31</v>
      </c>
      <c r="S37" s="693" t="s">
        <v>31</v>
      </c>
      <c r="T37" s="693" t="s">
        <v>31</v>
      </c>
      <c r="U37" s="693" t="s">
        <v>31</v>
      </c>
      <c r="V37" s="730" t="s">
        <v>31</v>
      </c>
      <c r="W37" s="731"/>
      <c r="X37" s="54" t="str">
        <f t="shared" si="0"/>
        <v/>
      </c>
      <c r="Y37" s="55">
        <f t="shared" si="1"/>
        <v>0</v>
      </c>
      <c r="Z37" s="56" t="str">
        <f t="shared" si="2"/>
        <v>*</v>
      </c>
      <c r="AA37" s="57" t="str">
        <f t="shared" si="3"/>
        <v>*</v>
      </c>
      <c r="AC37" s="349" t="str">
        <f t="shared" si="4"/>
        <v>*</v>
      </c>
      <c r="AD37" s="504">
        <f t="shared" si="5"/>
        <v>0</v>
      </c>
      <c r="AE37" s="384">
        <v>95.7</v>
      </c>
      <c r="AF37" s="384" t="s">
        <v>31</v>
      </c>
    </row>
    <row r="38" spans="1:32" ht="14.25" thickBot="1" x14ac:dyDescent="0.2">
      <c r="A38" s="2">
        <f>名簿ﾘｽﾄ!B32</f>
        <v>72</v>
      </c>
      <c r="B38" s="686">
        <v>28</v>
      </c>
      <c r="C38" s="728" t="s">
        <v>649</v>
      </c>
      <c r="D38" s="724"/>
      <c r="E38" s="729">
        <v>87</v>
      </c>
      <c r="F38" s="693">
        <v>89</v>
      </c>
      <c r="G38" s="693">
        <v>81</v>
      </c>
      <c r="H38" s="693"/>
      <c r="I38" s="693">
        <v>86</v>
      </c>
      <c r="J38" s="693">
        <v>88</v>
      </c>
      <c r="K38" s="693">
        <v>86</v>
      </c>
      <c r="L38" s="693">
        <v>85</v>
      </c>
      <c r="M38" s="693" t="s">
        <v>31</v>
      </c>
      <c r="N38" s="693">
        <v>83</v>
      </c>
      <c r="O38" s="693"/>
      <c r="P38" s="732">
        <v>83</v>
      </c>
      <c r="Q38" s="693"/>
      <c r="R38" s="688">
        <v>87</v>
      </c>
      <c r="S38" s="693">
        <v>92</v>
      </c>
      <c r="T38" s="693">
        <v>94</v>
      </c>
      <c r="U38" s="693" t="s">
        <v>31</v>
      </c>
      <c r="V38" s="730">
        <v>83</v>
      </c>
      <c r="W38" s="731"/>
      <c r="X38" s="54">
        <f t="shared" si="0"/>
        <v>86.461538461538467</v>
      </c>
      <c r="Y38" s="55">
        <f t="shared" si="1"/>
        <v>13</v>
      </c>
      <c r="Z38" s="56">
        <f t="shared" si="2"/>
        <v>5</v>
      </c>
      <c r="AA38" s="57">
        <f t="shared" si="3"/>
        <v>5</v>
      </c>
      <c r="AC38" s="349">
        <f t="shared" si="4"/>
        <v>86.461538461538467</v>
      </c>
      <c r="AD38" s="504">
        <f t="shared" si="5"/>
        <v>86.666666666666671</v>
      </c>
      <c r="AE38" s="542">
        <v>84.1</v>
      </c>
      <c r="AF38" s="384">
        <v>86.461538461538467</v>
      </c>
    </row>
    <row r="39" spans="1:32" ht="14.25" thickBot="1" x14ac:dyDescent="0.2">
      <c r="A39" s="2">
        <f>名簿ﾘｽﾄ!B33</f>
        <v>50</v>
      </c>
      <c r="B39" s="686">
        <v>29</v>
      </c>
      <c r="C39" s="728" t="s">
        <v>638</v>
      </c>
      <c r="D39" s="724"/>
      <c r="E39" s="729">
        <v>91</v>
      </c>
      <c r="F39" s="693">
        <v>101</v>
      </c>
      <c r="G39" s="693">
        <v>95</v>
      </c>
      <c r="H39" s="693"/>
      <c r="I39" s="693">
        <v>97</v>
      </c>
      <c r="J39" s="693">
        <v>87</v>
      </c>
      <c r="K39" s="693">
        <v>99</v>
      </c>
      <c r="L39" s="693">
        <v>94</v>
      </c>
      <c r="M39" s="693">
        <v>88</v>
      </c>
      <c r="N39" s="693">
        <v>90</v>
      </c>
      <c r="O39" s="693"/>
      <c r="P39" s="732">
        <v>99</v>
      </c>
      <c r="Q39" s="693"/>
      <c r="R39" s="688" t="s">
        <v>31</v>
      </c>
      <c r="S39" s="693">
        <v>92</v>
      </c>
      <c r="T39" s="693">
        <v>97</v>
      </c>
      <c r="U39" s="693">
        <v>95</v>
      </c>
      <c r="V39" s="730">
        <v>95</v>
      </c>
      <c r="W39" s="731"/>
      <c r="X39" s="54">
        <f t="shared" si="0"/>
        <v>94.285714285714292</v>
      </c>
      <c r="Y39" s="55">
        <f t="shared" si="1"/>
        <v>14</v>
      </c>
      <c r="Z39" s="56">
        <f t="shared" si="2"/>
        <v>14</v>
      </c>
      <c r="AA39" s="57">
        <f t="shared" si="3"/>
        <v>17</v>
      </c>
      <c r="AC39" s="349">
        <f t="shared" si="4"/>
        <v>94.285714285714292</v>
      </c>
      <c r="AD39" s="504">
        <f t="shared" si="5"/>
        <v>93.333333333333343</v>
      </c>
      <c r="AE39" s="384">
        <v>90.6</v>
      </c>
      <c r="AF39" s="384">
        <v>94.285714285714292</v>
      </c>
    </row>
    <row r="40" spans="1:32" ht="14.25" thickBot="1" x14ac:dyDescent="0.2">
      <c r="A40" s="2">
        <f>名簿ﾘｽﾄ!B34</f>
        <v>47</v>
      </c>
      <c r="B40" s="686">
        <v>30</v>
      </c>
      <c r="C40" s="728" t="s">
        <v>673</v>
      </c>
      <c r="D40" s="724"/>
      <c r="E40" s="729">
        <v>88</v>
      </c>
      <c r="F40" s="693">
        <v>110</v>
      </c>
      <c r="G40" s="693" t="s">
        <v>31</v>
      </c>
      <c r="H40" s="693"/>
      <c r="I40" s="693" t="s">
        <v>31</v>
      </c>
      <c r="J40" s="693" t="s">
        <v>31</v>
      </c>
      <c r="K40" s="693" t="s">
        <v>31</v>
      </c>
      <c r="L40" s="693" t="s">
        <v>31</v>
      </c>
      <c r="M40" s="693" t="s">
        <v>31</v>
      </c>
      <c r="N40" s="693" t="s">
        <v>31</v>
      </c>
      <c r="O40" s="693"/>
      <c r="P40" s="732" t="s">
        <v>31</v>
      </c>
      <c r="Q40" s="693"/>
      <c r="R40" s="688" t="s">
        <v>31</v>
      </c>
      <c r="S40" s="693">
        <v>90</v>
      </c>
      <c r="T40" s="693">
        <v>101</v>
      </c>
      <c r="U40" s="693">
        <v>96</v>
      </c>
      <c r="V40" s="730" t="s">
        <v>31</v>
      </c>
      <c r="W40" s="731"/>
      <c r="X40" s="54">
        <f t="shared" si="0"/>
        <v>97</v>
      </c>
      <c r="Y40" s="55">
        <f t="shared" si="1"/>
        <v>5</v>
      </c>
      <c r="Z40" s="56" t="str">
        <f t="shared" si="2"/>
        <v>*</v>
      </c>
      <c r="AA40" s="57">
        <f t="shared" si="3"/>
        <v>25</v>
      </c>
      <c r="AC40" s="349" t="str">
        <f t="shared" si="4"/>
        <v>*</v>
      </c>
      <c r="AD40" s="504">
        <f t="shared" si="5"/>
        <v>33.333333333333336</v>
      </c>
      <c r="AE40" s="384">
        <v>82.4</v>
      </c>
      <c r="AF40" s="384">
        <v>97</v>
      </c>
    </row>
    <row r="41" spans="1:32" ht="14.25" thickBot="1" x14ac:dyDescent="0.2">
      <c r="A41" s="2">
        <f>名簿ﾘｽﾄ!B35</f>
        <v>52</v>
      </c>
      <c r="B41" s="686">
        <v>31</v>
      </c>
      <c r="C41" s="728" t="s">
        <v>643</v>
      </c>
      <c r="D41" s="724"/>
      <c r="E41" s="729">
        <v>94</v>
      </c>
      <c r="F41" s="693">
        <v>96</v>
      </c>
      <c r="G41" s="693">
        <v>90</v>
      </c>
      <c r="H41" s="693"/>
      <c r="I41" s="693">
        <v>93</v>
      </c>
      <c r="J41" s="693" t="s">
        <v>31</v>
      </c>
      <c r="K41" s="693">
        <v>96</v>
      </c>
      <c r="L41" s="693">
        <v>99</v>
      </c>
      <c r="M41" s="693">
        <v>89</v>
      </c>
      <c r="N41" s="693">
        <v>92</v>
      </c>
      <c r="O41" s="693"/>
      <c r="P41" s="732">
        <v>103</v>
      </c>
      <c r="Q41" s="693"/>
      <c r="R41" s="688">
        <v>94</v>
      </c>
      <c r="S41" s="693">
        <v>91</v>
      </c>
      <c r="T41" s="693">
        <v>97</v>
      </c>
      <c r="U41" s="693">
        <v>92</v>
      </c>
      <c r="V41" s="730">
        <v>99</v>
      </c>
      <c r="W41" s="731"/>
      <c r="X41" s="54">
        <f t="shared" si="0"/>
        <v>94.642857142857139</v>
      </c>
      <c r="Y41" s="55">
        <f t="shared" si="1"/>
        <v>14</v>
      </c>
      <c r="Z41" s="56">
        <f t="shared" si="2"/>
        <v>15</v>
      </c>
      <c r="AA41" s="57">
        <f t="shared" si="3"/>
        <v>18</v>
      </c>
      <c r="AC41" s="349">
        <f t="shared" si="4"/>
        <v>94.642857142857139</v>
      </c>
      <c r="AD41" s="504">
        <f t="shared" si="5"/>
        <v>93.333333333333343</v>
      </c>
      <c r="AE41" s="384">
        <v>114</v>
      </c>
      <c r="AF41" s="384">
        <v>94.642857142857139</v>
      </c>
    </row>
    <row r="42" spans="1:32" ht="14.25" thickBot="1" x14ac:dyDescent="0.2">
      <c r="A42" s="2">
        <f>名簿ﾘｽﾄ!B36</f>
        <v>58</v>
      </c>
      <c r="B42" s="686">
        <v>32</v>
      </c>
      <c r="C42" s="728" t="s">
        <v>674</v>
      </c>
      <c r="D42" s="724"/>
      <c r="E42" s="729">
        <v>89</v>
      </c>
      <c r="F42" s="693">
        <v>88</v>
      </c>
      <c r="G42" s="693">
        <v>80</v>
      </c>
      <c r="H42" s="693"/>
      <c r="I42" s="693">
        <v>84</v>
      </c>
      <c r="J42" s="693">
        <v>92</v>
      </c>
      <c r="K42" s="693">
        <v>77</v>
      </c>
      <c r="L42" s="693" t="s">
        <v>31</v>
      </c>
      <c r="M42" s="693">
        <v>82</v>
      </c>
      <c r="N42" s="693">
        <v>83</v>
      </c>
      <c r="O42" s="693"/>
      <c r="P42" s="732">
        <v>86</v>
      </c>
      <c r="Q42" s="693"/>
      <c r="R42" s="688">
        <v>85</v>
      </c>
      <c r="S42" s="693">
        <v>87</v>
      </c>
      <c r="T42" s="693">
        <v>88</v>
      </c>
      <c r="U42" s="693">
        <v>85</v>
      </c>
      <c r="V42" s="730">
        <v>87</v>
      </c>
      <c r="W42" s="731"/>
      <c r="X42" s="54">
        <f t="shared" si="0"/>
        <v>85.214285714285708</v>
      </c>
      <c r="Y42" s="55">
        <f t="shared" si="1"/>
        <v>14</v>
      </c>
      <c r="Z42" s="56">
        <f t="shared" si="2"/>
        <v>3</v>
      </c>
      <c r="AA42" s="57">
        <f t="shared" si="3"/>
        <v>3</v>
      </c>
      <c r="AC42" s="349">
        <f t="shared" si="4"/>
        <v>85.214285714285708</v>
      </c>
      <c r="AD42" s="504">
        <f t="shared" si="5"/>
        <v>93.333333333333343</v>
      </c>
      <c r="AE42" s="384">
        <v>86</v>
      </c>
      <c r="AF42" s="384">
        <v>85.214285714285708</v>
      </c>
    </row>
    <row r="43" spans="1:32" ht="14.25" thickBot="1" x14ac:dyDescent="0.2">
      <c r="A43" s="2">
        <f>名簿ﾘｽﾄ!B37</f>
        <v>84</v>
      </c>
      <c r="B43" s="686">
        <v>33</v>
      </c>
      <c r="C43" s="728" t="s">
        <v>722</v>
      </c>
      <c r="D43" s="724"/>
      <c r="E43" s="729">
        <v>91</v>
      </c>
      <c r="F43" s="693" t="s">
        <v>31</v>
      </c>
      <c r="G43" s="693">
        <v>92</v>
      </c>
      <c r="H43" s="693"/>
      <c r="I43" s="693">
        <v>99</v>
      </c>
      <c r="J43" s="693">
        <v>97</v>
      </c>
      <c r="K43" s="693">
        <v>103</v>
      </c>
      <c r="L43" s="693">
        <v>90</v>
      </c>
      <c r="M43" s="693">
        <v>86</v>
      </c>
      <c r="N43" s="693" t="s">
        <v>31</v>
      </c>
      <c r="O43" s="693"/>
      <c r="P43" s="732" t="s">
        <v>31</v>
      </c>
      <c r="Q43" s="693"/>
      <c r="R43" s="688" t="s">
        <v>31</v>
      </c>
      <c r="S43" s="693">
        <v>96</v>
      </c>
      <c r="T43" s="693">
        <v>95</v>
      </c>
      <c r="U43" s="693">
        <v>99</v>
      </c>
      <c r="V43" s="730" t="s">
        <v>31</v>
      </c>
      <c r="W43" s="731"/>
      <c r="X43" s="54">
        <f t="shared" si="0"/>
        <v>94.8</v>
      </c>
      <c r="Y43" s="55">
        <f t="shared" si="1"/>
        <v>10</v>
      </c>
      <c r="Z43" s="56">
        <f t="shared" si="2"/>
        <v>16</v>
      </c>
      <c r="AA43" s="57">
        <f t="shared" si="3"/>
        <v>19</v>
      </c>
      <c r="AC43" s="349">
        <f t="shared" si="4"/>
        <v>94.8</v>
      </c>
      <c r="AD43" s="504">
        <f t="shared" si="5"/>
        <v>66.666666666666671</v>
      </c>
      <c r="AE43" s="384">
        <v>94.8</v>
      </c>
      <c r="AF43" s="384">
        <v>94.8</v>
      </c>
    </row>
    <row r="44" spans="1:32" ht="14.25" thickBot="1" x14ac:dyDescent="0.2">
      <c r="A44" s="2">
        <f>名簿ﾘｽﾄ!B38</f>
        <v>61</v>
      </c>
      <c r="B44" s="686">
        <v>34</v>
      </c>
      <c r="C44" s="728" t="s">
        <v>675</v>
      </c>
      <c r="D44" s="724"/>
      <c r="E44" s="729" t="s">
        <v>31</v>
      </c>
      <c r="F44" s="693" t="s">
        <v>31</v>
      </c>
      <c r="G44" s="693" t="s">
        <v>31</v>
      </c>
      <c r="H44" s="693"/>
      <c r="I44" s="693" t="s">
        <v>31</v>
      </c>
      <c r="J44" s="693" t="s">
        <v>31</v>
      </c>
      <c r="K44" s="693">
        <v>102</v>
      </c>
      <c r="L44" s="693" t="s">
        <v>31</v>
      </c>
      <c r="M44" s="693" t="s">
        <v>31</v>
      </c>
      <c r="N44" s="693" t="s">
        <v>31</v>
      </c>
      <c r="O44" s="693"/>
      <c r="P44" s="732" t="s">
        <v>31</v>
      </c>
      <c r="Q44" s="693"/>
      <c r="R44" s="688" t="s">
        <v>31</v>
      </c>
      <c r="S44" s="693" t="s">
        <v>31</v>
      </c>
      <c r="T44" s="693">
        <v>117</v>
      </c>
      <c r="U44" s="693" t="s">
        <v>31</v>
      </c>
      <c r="V44" s="730" t="s">
        <v>31</v>
      </c>
      <c r="W44" s="731"/>
      <c r="X44" s="54">
        <f t="shared" si="0"/>
        <v>109.5</v>
      </c>
      <c r="Y44" s="55">
        <f t="shared" si="1"/>
        <v>2</v>
      </c>
      <c r="Z44" s="56" t="str">
        <f t="shared" si="2"/>
        <v>*</v>
      </c>
      <c r="AA44" s="57">
        <f t="shared" si="3"/>
        <v>41</v>
      </c>
      <c r="AC44" s="349" t="str">
        <f t="shared" si="4"/>
        <v>*</v>
      </c>
      <c r="AD44" s="504">
        <f t="shared" si="5"/>
        <v>13.333333333333334</v>
      </c>
      <c r="AE44" s="384">
        <v>89.8</v>
      </c>
      <c r="AF44" s="384">
        <v>109.5</v>
      </c>
    </row>
    <row r="45" spans="1:32" ht="14.25" thickBot="1" x14ac:dyDescent="0.2">
      <c r="A45" s="2">
        <f>名簿ﾘｽﾄ!B39</f>
        <v>26</v>
      </c>
      <c r="B45" s="686">
        <v>35</v>
      </c>
      <c r="C45" s="728" t="s">
        <v>676</v>
      </c>
      <c r="D45" s="724"/>
      <c r="E45" s="729">
        <v>92</v>
      </c>
      <c r="F45" s="693">
        <v>88</v>
      </c>
      <c r="G45" s="693">
        <v>83</v>
      </c>
      <c r="H45" s="693"/>
      <c r="I45" s="693">
        <v>88</v>
      </c>
      <c r="J45" s="693">
        <v>88</v>
      </c>
      <c r="K45" s="693">
        <v>89</v>
      </c>
      <c r="L45" s="693" t="s">
        <v>31</v>
      </c>
      <c r="M45" s="693">
        <v>80</v>
      </c>
      <c r="N45" s="693" t="s">
        <v>31</v>
      </c>
      <c r="O45" s="693"/>
      <c r="P45" s="732">
        <v>87</v>
      </c>
      <c r="Q45" s="693"/>
      <c r="R45" s="688">
        <v>93</v>
      </c>
      <c r="S45" s="693">
        <v>93</v>
      </c>
      <c r="T45" s="693" t="s">
        <v>31</v>
      </c>
      <c r="U45" s="693">
        <v>83</v>
      </c>
      <c r="V45" s="730">
        <v>92</v>
      </c>
      <c r="W45" s="731"/>
      <c r="X45" s="54">
        <f t="shared" si="0"/>
        <v>88</v>
      </c>
      <c r="Y45" s="55">
        <f t="shared" si="1"/>
        <v>12</v>
      </c>
      <c r="Z45" s="56">
        <f t="shared" si="2"/>
        <v>6</v>
      </c>
      <c r="AA45" s="57">
        <f t="shared" si="3"/>
        <v>6</v>
      </c>
      <c r="AC45" s="349">
        <f t="shared" si="4"/>
        <v>88</v>
      </c>
      <c r="AD45" s="504">
        <f t="shared" si="5"/>
        <v>80</v>
      </c>
      <c r="AE45" s="384">
        <v>95.2</v>
      </c>
      <c r="AF45" s="384">
        <v>88</v>
      </c>
    </row>
    <row r="46" spans="1:32" ht="14.25" thickBot="1" x14ac:dyDescent="0.2">
      <c r="A46" s="2">
        <f>名簿ﾘｽﾄ!B40</f>
        <v>85</v>
      </c>
      <c r="B46" s="686">
        <v>36</v>
      </c>
      <c r="C46" s="728" t="s">
        <v>730</v>
      </c>
      <c r="D46" s="724"/>
      <c r="E46" s="729">
        <v>101</v>
      </c>
      <c r="F46" s="693" t="s">
        <v>31</v>
      </c>
      <c r="G46" s="693" t="s">
        <v>31</v>
      </c>
      <c r="H46" s="693"/>
      <c r="I46" s="693" t="s">
        <v>31</v>
      </c>
      <c r="J46" s="693" t="s">
        <v>31</v>
      </c>
      <c r="K46" s="693" t="s">
        <v>31</v>
      </c>
      <c r="L46" s="693" t="s">
        <v>31</v>
      </c>
      <c r="M46" s="693" t="s">
        <v>31</v>
      </c>
      <c r="N46" s="693" t="s">
        <v>31</v>
      </c>
      <c r="O46" s="693"/>
      <c r="P46" s="732" t="s">
        <v>31</v>
      </c>
      <c r="Q46" s="693"/>
      <c r="R46" s="688" t="s">
        <v>31</v>
      </c>
      <c r="S46" s="693" t="s">
        <v>31</v>
      </c>
      <c r="T46" s="693" t="s">
        <v>31</v>
      </c>
      <c r="U46" s="693" t="s">
        <v>31</v>
      </c>
      <c r="V46" s="730" t="s">
        <v>31</v>
      </c>
      <c r="W46" s="731"/>
      <c r="X46" s="54">
        <f t="shared" si="0"/>
        <v>101</v>
      </c>
      <c r="Y46" s="55">
        <f t="shared" si="1"/>
        <v>1</v>
      </c>
      <c r="Z46" s="56" t="str">
        <f t="shared" si="2"/>
        <v>*</v>
      </c>
      <c r="AA46" s="57">
        <f t="shared" si="3"/>
        <v>31</v>
      </c>
      <c r="AC46" s="349" t="str">
        <f t="shared" si="4"/>
        <v>*</v>
      </c>
      <c r="AD46" s="504">
        <f t="shared" si="5"/>
        <v>6.666666666666667</v>
      </c>
      <c r="AE46" s="384">
        <v>95</v>
      </c>
      <c r="AF46" s="384">
        <v>101</v>
      </c>
    </row>
    <row r="47" spans="1:32" ht="14.25" thickBot="1" x14ac:dyDescent="0.2">
      <c r="A47" s="2">
        <f>名簿ﾘｽﾄ!B41</f>
        <v>41</v>
      </c>
      <c r="B47" s="686">
        <v>37</v>
      </c>
      <c r="C47" s="728" t="s">
        <v>636</v>
      </c>
      <c r="D47" s="724"/>
      <c r="E47" s="729">
        <v>96</v>
      </c>
      <c r="F47" s="693" t="s">
        <v>31</v>
      </c>
      <c r="G47" s="693">
        <v>91</v>
      </c>
      <c r="H47" s="693"/>
      <c r="I47" s="693">
        <v>103</v>
      </c>
      <c r="J47" s="693" t="s">
        <v>31</v>
      </c>
      <c r="K47" s="693">
        <v>94</v>
      </c>
      <c r="L47" s="693" t="s">
        <v>31</v>
      </c>
      <c r="M47" s="693">
        <v>98</v>
      </c>
      <c r="N47" s="693">
        <v>94</v>
      </c>
      <c r="O47" s="693"/>
      <c r="P47" s="732">
        <v>90</v>
      </c>
      <c r="Q47" s="693"/>
      <c r="R47" s="688">
        <v>95</v>
      </c>
      <c r="S47" s="693">
        <v>105</v>
      </c>
      <c r="T47" s="693" t="s">
        <v>31</v>
      </c>
      <c r="U47" s="693">
        <v>91</v>
      </c>
      <c r="V47" s="730">
        <v>102</v>
      </c>
      <c r="W47" s="731"/>
      <c r="X47" s="54">
        <f t="shared" si="0"/>
        <v>96.272727272727266</v>
      </c>
      <c r="Y47" s="55">
        <f t="shared" si="1"/>
        <v>11</v>
      </c>
      <c r="Z47" s="56">
        <f t="shared" si="2"/>
        <v>18</v>
      </c>
      <c r="AA47" s="57">
        <f t="shared" si="3"/>
        <v>22</v>
      </c>
      <c r="AC47" s="349">
        <f t="shared" si="4"/>
        <v>96.272727272727266</v>
      </c>
      <c r="AD47" s="504">
        <f t="shared" si="5"/>
        <v>73.333333333333343</v>
      </c>
      <c r="AE47" s="384">
        <v>109.6</v>
      </c>
      <c r="AF47" s="384">
        <v>96.272727272727266</v>
      </c>
    </row>
    <row r="48" spans="1:32" ht="14.25" thickBot="1" x14ac:dyDescent="0.2">
      <c r="A48" s="2">
        <f>名簿ﾘｽﾄ!B42</f>
        <v>36</v>
      </c>
      <c r="B48" s="686">
        <v>38</v>
      </c>
      <c r="C48" s="728" t="s">
        <v>677</v>
      </c>
      <c r="D48" s="724"/>
      <c r="E48" s="729">
        <v>91</v>
      </c>
      <c r="F48" s="693">
        <v>86</v>
      </c>
      <c r="G48" s="693">
        <v>87</v>
      </c>
      <c r="H48" s="693"/>
      <c r="I48" s="693">
        <v>93</v>
      </c>
      <c r="J48" s="693" t="s">
        <v>31</v>
      </c>
      <c r="K48" s="693">
        <v>86</v>
      </c>
      <c r="L48" s="693">
        <v>87</v>
      </c>
      <c r="M48" s="693" t="s">
        <v>31</v>
      </c>
      <c r="N48" s="693">
        <v>93</v>
      </c>
      <c r="O48" s="693"/>
      <c r="P48" s="732">
        <v>87</v>
      </c>
      <c r="Q48" s="693"/>
      <c r="R48" s="688">
        <v>98</v>
      </c>
      <c r="S48" s="693" t="s">
        <v>31</v>
      </c>
      <c r="T48" s="693">
        <v>90</v>
      </c>
      <c r="U48" s="693">
        <v>89</v>
      </c>
      <c r="V48" s="730">
        <v>99</v>
      </c>
      <c r="W48" s="731"/>
      <c r="X48" s="54">
        <f t="shared" si="0"/>
        <v>90.5</v>
      </c>
      <c r="Y48" s="55">
        <f t="shared" si="1"/>
        <v>12</v>
      </c>
      <c r="Z48" s="56">
        <f t="shared" si="2"/>
        <v>7</v>
      </c>
      <c r="AA48" s="57">
        <f t="shared" si="3"/>
        <v>8</v>
      </c>
      <c r="AC48" s="349">
        <f t="shared" si="4"/>
        <v>90.5</v>
      </c>
      <c r="AD48" s="504">
        <f t="shared" si="5"/>
        <v>80</v>
      </c>
      <c r="AE48" s="384">
        <v>102.7</v>
      </c>
      <c r="AF48" s="384">
        <v>90.5</v>
      </c>
    </row>
    <row r="49" spans="1:32" ht="14.25" thickBot="1" x14ac:dyDescent="0.2">
      <c r="A49" s="2">
        <f>名簿ﾘｽﾄ!B43</f>
        <v>38</v>
      </c>
      <c r="B49" s="686">
        <v>39</v>
      </c>
      <c r="C49" s="728" t="s">
        <v>678</v>
      </c>
      <c r="D49" s="724"/>
      <c r="E49" s="729" t="s">
        <v>31</v>
      </c>
      <c r="F49" s="693" t="s">
        <v>31</v>
      </c>
      <c r="G49" s="693" t="s">
        <v>31</v>
      </c>
      <c r="H49" s="693"/>
      <c r="I49" s="693" t="s">
        <v>31</v>
      </c>
      <c r="J49" s="693" t="s">
        <v>31</v>
      </c>
      <c r="K49" s="693" t="s">
        <v>31</v>
      </c>
      <c r="L49" s="693" t="s">
        <v>31</v>
      </c>
      <c r="M49" s="693" t="s">
        <v>31</v>
      </c>
      <c r="N49" s="693" t="s">
        <v>31</v>
      </c>
      <c r="O49" s="693"/>
      <c r="P49" s="732" t="s">
        <v>31</v>
      </c>
      <c r="Q49" s="693"/>
      <c r="R49" s="688" t="s">
        <v>31</v>
      </c>
      <c r="S49" s="693" t="s">
        <v>31</v>
      </c>
      <c r="T49" s="693" t="s">
        <v>31</v>
      </c>
      <c r="U49" s="693" t="s">
        <v>31</v>
      </c>
      <c r="V49" s="730" t="s">
        <v>31</v>
      </c>
      <c r="W49" s="731"/>
      <c r="X49" s="54" t="str">
        <f t="shared" si="0"/>
        <v/>
      </c>
      <c r="Y49" s="55">
        <f t="shared" si="1"/>
        <v>0</v>
      </c>
      <c r="Z49" s="56" t="str">
        <f t="shared" si="2"/>
        <v>*</v>
      </c>
      <c r="AA49" s="57" t="str">
        <f t="shared" si="3"/>
        <v>*</v>
      </c>
      <c r="AC49" s="349" t="str">
        <f t="shared" si="4"/>
        <v>*</v>
      </c>
      <c r="AD49" s="504">
        <f t="shared" si="5"/>
        <v>0</v>
      </c>
      <c r="AE49" s="384">
        <v>94.9</v>
      </c>
      <c r="AF49" s="384" t="s">
        <v>31</v>
      </c>
    </row>
    <row r="50" spans="1:32" ht="14.25" thickBot="1" x14ac:dyDescent="0.2">
      <c r="A50" s="2">
        <f>名簿ﾘｽﾄ!B44</f>
        <v>67</v>
      </c>
      <c r="B50" s="686">
        <v>40</v>
      </c>
      <c r="C50" s="728" t="s">
        <v>679</v>
      </c>
      <c r="D50" s="724"/>
      <c r="E50" s="729">
        <v>111</v>
      </c>
      <c r="F50" s="693" t="s">
        <v>31</v>
      </c>
      <c r="G50" s="693">
        <v>101</v>
      </c>
      <c r="H50" s="693"/>
      <c r="I50" s="693">
        <v>101</v>
      </c>
      <c r="J50" s="693" t="s">
        <v>31</v>
      </c>
      <c r="K50" s="693">
        <v>122</v>
      </c>
      <c r="L50" s="693">
        <v>97</v>
      </c>
      <c r="M50" s="693">
        <v>104</v>
      </c>
      <c r="N50" s="693" t="s">
        <v>31</v>
      </c>
      <c r="O50" s="693"/>
      <c r="P50" s="732">
        <v>101</v>
      </c>
      <c r="Q50" s="693"/>
      <c r="R50" s="688">
        <v>108</v>
      </c>
      <c r="S50" s="693">
        <v>111</v>
      </c>
      <c r="T50" s="693">
        <v>113</v>
      </c>
      <c r="U50" s="693">
        <v>103</v>
      </c>
      <c r="V50" s="730">
        <v>113</v>
      </c>
      <c r="W50" s="731"/>
      <c r="X50" s="54">
        <f t="shared" si="0"/>
        <v>107.08333333333333</v>
      </c>
      <c r="Y50" s="55">
        <f t="shared" si="1"/>
        <v>12</v>
      </c>
      <c r="Z50" s="56">
        <f t="shared" si="2"/>
        <v>27</v>
      </c>
      <c r="AA50" s="57">
        <f t="shared" si="3"/>
        <v>39</v>
      </c>
      <c r="AC50" s="349">
        <f t="shared" si="4"/>
        <v>107.08333333333333</v>
      </c>
      <c r="AD50" s="504">
        <f t="shared" si="5"/>
        <v>80</v>
      </c>
      <c r="AE50" s="384">
        <v>98.4</v>
      </c>
      <c r="AF50" s="384">
        <v>107.08333333333333</v>
      </c>
    </row>
    <row r="51" spans="1:32" ht="14.25" thickBot="1" x14ac:dyDescent="0.2">
      <c r="A51" s="2">
        <f>名簿ﾘｽﾄ!B45</f>
        <v>71</v>
      </c>
      <c r="B51" s="686">
        <v>41</v>
      </c>
      <c r="C51" s="728" t="s">
        <v>633</v>
      </c>
      <c r="D51" s="724"/>
      <c r="E51" s="729">
        <v>102</v>
      </c>
      <c r="F51" s="693">
        <v>98</v>
      </c>
      <c r="G51" s="693">
        <v>101</v>
      </c>
      <c r="H51" s="693"/>
      <c r="I51" s="693">
        <v>100</v>
      </c>
      <c r="J51" s="693" t="s">
        <v>31</v>
      </c>
      <c r="K51" s="693">
        <v>96</v>
      </c>
      <c r="L51" s="693">
        <v>98</v>
      </c>
      <c r="M51" s="693" t="s">
        <v>31</v>
      </c>
      <c r="N51" s="693">
        <v>92</v>
      </c>
      <c r="O51" s="693"/>
      <c r="P51" s="732">
        <v>104</v>
      </c>
      <c r="Q51" s="693"/>
      <c r="R51" s="688">
        <v>96</v>
      </c>
      <c r="S51" s="693">
        <v>100</v>
      </c>
      <c r="T51" s="693">
        <v>107</v>
      </c>
      <c r="U51" s="693">
        <v>98</v>
      </c>
      <c r="V51" s="730">
        <v>109</v>
      </c>
      <c r="W51" s="731"/>
      <c r="X51" s="54">
        <f t="shared" si="0"/>
        <v>100.07692307692308</v>
      </c>
      <c r="Y51" s="55">
        <f t="shared" si="1"/>
        <v>13</v>
      </c>
      <c r="Z51" s="56">
        <f t="shared" si="2"/>
        <v>22</v>
      </c>
      <c r="AA51" s="57">
        <f t="shared" si="3"/>
        <v>28</v>
      </c>
      <c r="AC51" s="349">
        <f t="shared" si="4"/>
        <v>100.07692307692308</v>
      </c>
      <c r="AD51" s="504">
        <f t="shared" si="5"/>
        <v>86.666666666666671</v>
      </c>
      <c r="AE51" s="384" t="s">
        <v>465</v>
      </c>
      <c r="AF51" s="384">
        <v>100.07692307692308</v>
      </c>
    </row>
    <row r="52" spans="1:32" ht="14.25" thickBot="1" x14ac:dyDescent="0.2">
      <c r="A52" s="2">
        <f>名簿ﾘｽﾄ!B46</f>
        <v>51</v>
      </c>
      <c r="B52" s="686">
        <v>42</v>
      </c>
      <c r="C52" s="728" t="s">
        <v>680</v>
      </c>
      <c r="D52" s="724"/>
      <c r="E52" s="729">
        <v>104</v>
      </c>
      <c r="F52" s="693" t="s">
        <v>31</v>
      </c>
      <c r="G52" s="693">
        <v>102</v>
      </c>
      <c r="H52" s="693"/>
      <c r="I52" s="693">
        <v>102</v>
      </c>
      <c r="J52" s="693">
        <v>96</v>
      </c>
      <c r="K52" s="693">
        <v>104</v>
      </c>
      <c r="L52" s="693">
        <v>101</v>
      </c>
      <c r="M52" s="693" t="s">
        <v>31</v>
      </c>
      <c r="N52" s="693" t="s">
        <v>31</v>
      </c>
      <c r="O52" s="693"/>
      <c r="P52" s="732">
        <v>95</v>
      </c>
      <c r="Q52" s="693"/>
      <c r="R52" s="688" t="s">
        <v>31</v>
      </c>
      <c r="S52" s="693" t="s">
        <v>31</v>
      </c>
      <c r="T52" s="693">
        <v>105</v>
      </c>
      <c r="U52" s="693">
        <v>103</v>
      </c>
      <c r="V52" s="730" t="s">
        <v>31</v>
      </c>
      <c r="W52" s="731"/>
      <c r="X52" s="54">
        <f t="shared" si="0"/>
        <v>101.33333333333333</v>
      </c>
      <c r="Y52" s="55">
        <f t="shared" si="1"/>
        <v>9</v>
      </c>
      <c r="Z52" s="56">
        <f t="shared" si="2"/>
        <v>25</v>
      </c>
      <c r="AA52" s="57">
        <f t="shared" si="3"/>
        <v>33</v>
      </c>
      <c r="AC52" s="349">
        <f t="shared" si="4"/>
        <v>101.33333333333333</v>
      </c>
      <c r="AD52" s="504">
        <f t="shared" si="5"/>
        <v>60</v>
      </c>
      <c r="AE52" s="384">
        <v>98.4</v>
      </c>
      <c r="AF52" s="384">
        <v>101.33333333333333</v>
      </c>
    </row>
    <row r="53" spans="1:32" ht="14.25" thickBot="1" x14ac:dyDescent="0.2">
      <c r="A53" s="2">
        <f>名簿ﾘｽﾄ!B47</f>
        <v>80</v>
      </c>
      <c r="B53" s="686">
        <v>43</v>
      </c>
      <c r="C53" s="728" t="s">
        <v>705</v>
      </c>
      <c r="D53" s="724"/>
      <c r="E53" s="729" t="s">
        <v>31</v>
      </c>
      <c r="F53" s="693" t="s">
        <v>31</v>
      </c>
      <c r="G53" s="693" t="s">
        <v>31</v>
      </c>
      <c r="H53" s="693"/>
      <c r="I53" s="693" t="s">
        <v>31</v>
      </c>
      <c r="J53" s="693" t="s">
        <v>31</v>
      </c>
      <c r="K53" s="693" t="s">
        <v>31</v>
      </c>
      <c r="L53" s="693" t="s">
        <v>31</v>
      </c>
      <c r="M53" s="693" t="s">
        <v>31</v>
      </c>
      <c r="N53" s="693" t="s">
        <v>31</v>
      </c>
      <c r="O53" s="693"/>
      <c r="P53" s="732" t="s">
        <v>31</v>
      </c>
      <c r="Q53" s="693"/>
      <c r="R53" s="688" t="s">
        <v>31</v>
      </c>
      <c r="S53" s="693" t="s">
        <v>31</v>
      </c>
      <c r="T53" s="693" t="s">
        <v>31</v>
      </c>
      <c r="U53" s="693" t="s">
        <v>31</v>
      </c>
      <c r="V53" s="730" t="s">
        <v>31</v>
      </c>
      <c r="W53" s="731"/>
      <c r="X53" s="54" t="str">
        <f t="shared" si="0"/>
        <v/>
      </c>
      <c r="Y53" s="55">
        <f t="shared" si="1"/>
        <v>0</v>
      </c>
      <c r="Z53" s="56" t="str">
        <f t="shared" si="2"/>
        <v>*</v>
      </c>
      <c r="AA53" s="57" t="str">
        <f t="shared" si="3"/>
        <v>*</v>
      </c>
      <c r="AC53" s="349" t="str">
        <f t="shared" si="4"/>
        <v>*</v>
      </c>
      <c r="AD53" s="504">
        <f t="shared" si="5"/>
        <v>0</v>
      </c>
      <c r="AE53" s="384">
        <v>99.9</v>
      </c>
      <c r="AF53" s="384" t="s">
        <v>31</v>
      </c>
    </row>
    <row r="54" spans="1:32" ht="14.25" thickBot="1" x14ac:dyDescent="0.2">
      <c r="A54" s="2">
        <f>名簿ﾘｽﾄ!B48</f>
        <v>65</v>
      </c>
      <c r="B54" s="686">
        <v>44</v>
      </c>
      <c r="C54" s="728" t="s">
        <v>637</v>
      </c>
      <c r="D54" s="724"/>
      <c r="E54" s="729" t="s">
        <v>31</v>
      </c>
      <c r="F54" s="693" t="s">
        <v>31</v>
      </c>
      <c r="G54" s="693" t="s">
        <v>31</v>
      </c>
      <c r="H54" s="693"/>
      <c r="I54" s="693" t="s">
        <v>31</v>
      </c>
      <c r="J54" s="693" t="s">
        <v>31</v>
      </c>
      <c r="K54" s="693" t="s">
        <v>31</v>
      </c>
      <c r="L54" s="693" t="s">
        <v>31</v>
      </c>
      <c r="M54" s="693" t="s">
        <v>31</v>
      </c>
      <c r="N54" s="693" t="s">
        <v>31</v>
      </c>
      <c r="O54" s="693"/>
      <c r="P54" s="732" t="s">
        <v>31</v>
      </c>
      <c r="Q54" s="693"/>
      <c r="R54" s="688" t="s">
        <v>31</v>
      </c>
      <c r="S54" s="693" t="s">
        <v>31</v>
      </c>
      <c r="T54" s="693" t="s">
        <v>31</v>
      </c>
      <c r="U54" s="693" t="s">
        <v>31</v>
      </c>
      <c r="V54" s="730" t="s">
        <v>31</v>
      </c>
      <c r="W54" s="731"/>
      <c r="X54" s="54" t="str">
        <f t="shared" si="0"/>
        <v/>
      </c>
      <c r="Y54" s="55">
        <f t="shared" si="1"/>
        <v>0</v>
      </c>
      <c r="Z54" s="56" t="str">
        <f t="shared" si="2"/>
        <v>*</v>
      </c>
      <c r="AA54" s="57" t="str">
        <f t="shared" si="3"/>
        <v>*</v>
      </c>
      <c r="AC54" s="349" t="str">
        <f t="shared" si="4"/>
        <v>*</v>
      </c>
      <c r="AD54" s="504">
        <f t="shared" si="5"/>
        <v>0</v>
      </c>
      <c r="AE54" s="384">
        <v>84.3</v>
      </c>
      <c r="AF54" s="384" t="s">
        <v>31</v>
      </c>
    </row>
    <row r="55" spans="1:32" ht="14.25" thickBot="1" x14ac:dyDescent="0.2">
      <c r="A55" s="2">
        <f>名簿ﾘｽﾄ!B49</f>
        <v>3</v>
      </c>
      <c r="B55" s="686">
        <v>45</v>
      </c>
      <c r="C55" s="728" t="s">
        <v>681</v>
      </c>
      <c r="D55" s="724"/>
      <c r="E55" s="729">
        <v>104</v>
      </c>
      <c r="F55" s="693">
        <v>108</v>
      </c>
      <c r="G55" s="693" t="s">
        <v>31</v>
      </c>
      <c r="H55" s="693"/>
      <c r="I55" s="693">
        <v>107</v>
      </c>
      <c r="J55" s="693" t="s">
        <v>31</v>
      </c>
      <c r="K55" s="693">
        <v>105</v>
      </c>
      <c r="L55" s="693" t="s">
        <v>31</v>
      </c>
      <c r="M55" s="693" t="s">
        <v>31</v>
      </c>
      <c r="N55" s="693" t="s">
        <v>31</v>
      </c>
      <c r="O55" s="693"/>
      <c r="P55" s="732" t="s">
        <v>31</v>
      </c>
      <c r="Q55" s="693"/>
      <c r="R55" s="688">
        <v>104</v>
      </c>
      <c r="S55" s="693">
        <v>107</v>
      </c>
      <c r="T55" s="693" t="s">
        <v>31</v>
      </c>
      <c r="U55" s="693" t="s">
        <v>31</v>
      </c>
      <c r="V55" s="730">
        <v>107</v>
      </c>
      <c r="W55" s="731"/>
      <c r="X55" s="54">
        <f t="shared" si="0"/>
        <v>106</v>
      </c>
      <c r="Y55" s="55">
        <f t="shared" si="1"/>
        <v>7</v>
      </c>
      <c r="Z55" s="56" t="str">
        <f t="shared" si="2"/>
        <v>*</v>
      </c>
      <c r="AA55" s="57">
        <f t="shared" si="3"/>
        <v>37</v>
      </c>
      <c r="AC55" s="349" t="str">
        <f t="shared" si="4"/>
        <v>*</v>
      </c>
      <c r="AD55" s="504">
        <f t="shared" si="5"/>
        <v>46.666666666666671</v>
      </c>
      <c r="AE55" s="384">
        <v>99.9</v>
      </c>
      <c r="AF55" s="384">
        <v>106</v>
      </c>
    </row>
    <row r="56" spans="1:32" ht="14.25" thickBot="1" x14ac:dyDescent="0.2">
      <c r="A56" s="2">
        <f>名簿ﾘｽﾄ!B50</f>
        <v>53</v>
      </c>
      <c r="B56" s="686">
        <v>46</v>
      </c>
      <c r="C56" s="728" t="s">
        <v>631</v>
      </c>
      <c r="D56" s="724"/>
      <c r="E56" s="729">
        <v>87</v>
      </c>
      <c r="F56" s="693">
        <v>94</v>
      </c>
      <c r="G56" s="693">
        <v>80</v>
      </c>
      <c r="H56" s="693"/>
      <c r="I56" s="693">
        <v>88</v>
      </c>
      <c r="J56" s="693">
        <v>80</v>
      </c>
      <c r="K56" s="693">
        <v>82</v>
      </c>
      <c r="L56" s="693" t="s">
        <v>31</v>
      </c>
      <c r="M56" s="693">
        <v>83</v>
      </c>
      <c r="N56" s="693">
        <v>75</v>
      </c>
      <c r="O56" s="693"/>
      <c r="P56" s="732">
        <v>89</v>
      </c>
      <c r="Q56" s="693"/>
      <c r="R56" s="688">
        <v>92</v>
      </c>
      <c r="S56" s="693">
        <v>89</v>
      </c>
      <c r="T56" s="693">
        <v>88</v>
      </c>
      <c r="U56" s="693">
        <v>83</v>
      </c>
      <c r="V56" s="730">
        <v>86</v>
      </c>
      <c r="W56" s="731"/>
      <c r="X56" s="54">
        <f t="shared" si="0"/>
        <v>85.428571428571431</v>
      </c>
      <c r="Y56" s="55">
        <f t="shared" si="1"/>
        <v>14</v>
      </c>
      <c r="Z56" s="56">
        <f t="shared" si="2"/>
        <v>4</v>
      </c>
      <c r="AA56" s="57">
        <f t="shared" si="3"/>
        <v>4</v>
      </c>
      <c r="AC56" s="349">
        <f t="shared" si="4"/>
        <v>85.428571428571431</v>
      </c>
      <c r="AD56" s="504">
        <f t="shared" si="5"/>
        <v>93.333333333333343</v>
      </c>
      <c r="AE56" s="384">
        <v>95.9</v>
      </c>
      <c r="AF56" s="384">
        <v>85.428571428571431</v>
      </c>
    </row>
    <row r="57" spans="1:32" ht="14.25" thickBot="1" x14ac:dyDescent="0.2">
      <c r="A57" s="2">
        <f>名簿ﾘｽﾄ!B51</f>
        <v>82</v>
      </c>
      <c r="B57" s="686">
        <v>47</v>
      </c>
      <c r="C57" s="728" t="s">
        <v>709</v>
      </c>
      <c r="D57" s="724"/>
      <c r="E57" s="729" t="s">
        <v>31</v>
      </c>
      <c r="F57" s="693" t="s">
        <v>31</v>
      </c>
      <c r="G57" s="693" t="s">
        <v>31</v>
      </c>
      <c r="H57" s="693"/>
      <c r="I57" s="693" t="s">
        <v>31</v>
      </c>
      <c r="J57" s="693" t="s">
        <v>31</v>
      </c>
      <c r="K57" s="693">
        <v>100</v>
      </c>
      <c r="L57" s="693">
        <v>98</v>
      </c>
      <c r="M57" s="693" t="s">
        <v>31</v>
      </c>
      <c r="N57" s="693" t="s">
        <v>31</v>
      </c>
      <c r="O57" s="693"/>
      <c r="P57" s="732">
        <v>98</v>
      </c>
      <c r="Q57" s="693"/>
      <c r="R57" s="688">
        <v>108</v>
      </c>
      <c r="S57" s="693" t="s">
        <v>31</v>
      </c>
      <c r="T57" s="693" t="s">
        <v>31</v>
      </c>
      <c r="U57" s="693" t="s">
        <v>31</v>
      </c>
      <c r="V57" s="730" t="s">
        <v>31</v>
      </c>
      <c r="W57" s="731"/>
      <c r="X57" s="54">
        <f t="shared" si="0"/>
        <v>101</v>
      </c>
      <c r="Y57" s="55">
        <f t="shared" si="1"/>
        <v>4</v>
      </c>
      <c r="Z57" s="56" t="str">
        <f t="shared" si="2"/>
        <v>*</v>
      </c>
      <c r="AA57" s="57">
        <f t="shared" si="3"/>
        <v>31</v>
      </c>
      <c r="AC57" s="349" t="str">
        <f t="shared" si="4"/>
        <v>*</v>
      </c>
      <c r="AD57" s="504">
        <f t="shared" si="5"/>
        <v>26.666666666666668</v>
      </c>
      <c r="AE57" s="384">
        <v>108.6</v>
      </c>
      <c r="AF57" s="384">
        <v>101</v>
      </c>
    </row>
    <row r="58" spans="1:32" ht="14.25" thickBot="1" x14ac:dyDescent="0.2">
      <c r="A58" s="2">
        <f>名簿ﾘｽﾄ!B52</f>
        <v>55</v>
      </c>
      <c r="B58" s="686">
        <v>48</v>
      </c>
      <c r="C58" s="728" t="s">
        <v>682</v>
      </c>
      <c r="D58" s="724"/>
      <c r="E58" s="729">
        <v>105</v>
      </c>
      <c r="F58" s="693">
        <v>103</v>
      </c>
      <c r="G58" s="693" t="s">
        <v>31</v>
      </c>
      <c r="H58" s="693"/>
      <c r="I58" s="693" t="s">
        <v>31</v>
      </c>
      <c r="J58" s="693">
        <v>101</v>
      </c>
      <c r="K58" s="693">
        <v>109</v>
      </c>
      <c r="L58" s="693">
        <v>91</v>
      </c>
      <c r="M58" s="693">
        <v>100</v>
      </c>
      <c r="N58" s="693">
        <v>92</v>
      </c>
      <c r="O58" s="693"/>
      <c r="P58" s="732">
        <v>93</v>
      </c>
      <c r="Q58" s="693"/>
      <c r="R58" s="688">
        <v>96</v>
      </c>
      <c r="S58" s="693">
        <v>98</v>
      </c>
      <c r="T58" s="693">
        <v>94</v>
      </c>
      <c r="U58" s="693">
        <v>95</v>
      </c>
      <c r="V58" s="730">
        <v>95</v>
      </c>
      <c r="W58" s="731"/>
      <c r="X58" s="54">
        <f t="shared" si="0"/>
        <v>97.84615384615384</v>
      </c>
      <c r="Y58" s="55">
        <f t="shared" si="1"/>
        <v>13</v>
      </c>
      <c r="Z58" s="56">
        <f t="shared" si="2"/>
        <v>20</v>
      </c>
      <c r="AA58" s="57">
        <f t="shared" si="3"/>
        <v>26</v>
      </c>
      <c r="AC58" s="349">
        <f t="shared" si="4"/>
        <v>97.84615384615384</v>
      </c>
      <c r="AD58" s="504">
        <f t="shared" si="5"/>
        <v>86.666666666666671</v>
      </c>
      <c r="AE58" s="384">
        <v>96.4</v>
      </c>
      <c r="AF58" s="384">
        <v>97.84615384615384</v>
      </c>
    </row>
    <row r="59" spans="1:32" ht="14.25" thickBot="1" x14ac:dyDescent="0.2">
      <c r="A59" s="2">
        <f>名簿ﾘｽﾄ!B53</f>
        <v>81</v>
      </c>
      <c r="B59" s="686">
        <v>49</v>
      </c>
      <c r="C59" s="728" t="s">
        <v>706</v>
      </c>
      <c r="D59" s="724"/>
      <c r="E59" s="729" t="s">
        <v>31</v>
      </c>
      <c r="F59" s="693" t="s">
        <v>31</v>
      </c>
      <c r="G59" s="693">
        <v>96</v>
      </c>
      <c r="H59" s="693"/>
      <c r="I59" s="693">
        <v>99</v>
      </c>
      <c r="J59" s="693" t="s">
        <v>31</v>
      </c>
      <c r="K59" s="693">
        <v>93</v>
      </c>
      <c r="L59" s="693">
        <v>91</v>
      </c>
      <c r="M59" s="693" t="s">
        <v>31</v>
      </c>
      <c r="N59" s="693" t="s">
        <v>31</v>
      </c>
      <c r="O59" s="693"/>
      <c r="P59" s="732" t="s">
        <v>31</v>
      </c>
      <c r="Q59" s="693"/>
      <c r="R59" s="688">
        <v>94</v>
      </c>
      <c r="S59" s="693" t="s">
        <v>31</v>
      </c>
      <c r="T59" s="693">
        <v>98</v>
      </c>
      <c r="U59" s="693" t="s">
        <v>31</v>
      </c>
      <c r="V59" s="730" t="s">
        <v>31</v>
      </c>
      <c r="W59" s="731"/>
      <c r="X59" s="54">
        <f t="shared" si="0"/>
        <v>95.166666666666671</v>
      </c>
      <c r="Y59" s="55">
        <f t="shared" si="1"/>
        <v>6</v>
      </c>
      <c r="Z59" s="56" t="str">
        <f t="shared" si="2"/>
        <v>*</v>
      </c>
      <c r="AA59" s="57">
        <f t="shared" si="3"/>
        <v>20</v>
      </c>
      <c r="AC59" s="349" t="str">
        <f t="shared" si="4"/>
        <v>*</v>
      </c>
      <c r="AD59" s="504">
        <f t="shared" si="5"/>
        <v>40</v>
      </c>
      <c r="AE59" s="384">
        <v>94</v>
      </c>
      <c r="AF59" s="384">
        <v>95.166666666666671</v>
      </c>
    </row>
    <row r="60" spans="1:32" ht="14.25" thickBot="1" x14ac:dyDescent="0.2">
      <c r="A60" s="2">
        <f>名簿ﾘｽﾄ!B54</f>
        <v>40</v>
      </c>
      <c r="B60" s="686">
        <v>50</v>
      </c>
      <c r="C60" s="728" t="s">
        <v>635</v>
      </c>
      <c r="D60" s="724"/>
      <c r="E60" s="729">
        <v>94</v>
      </c>
      <c r="F60" s="693">
        <v>105</v>
      </c>
      <c r="G60" s="693" t="s">
        <v>31</v>
      </c>
      <c r="H60" s="693"/>
      <c r="I60" s="693">
        <v>101</v>
      </c>
      <c r="J60" s="693" t="s">
        <v>31</v>
      </c>
      <c r="K60" s="693">
        <v>96</v>
      </c>
      <c r="L60" s="693">
        <v>94</v>
      </c>
      <c r="M60" s="693">
        <v>98</v>
      </c>
      <c r="N60" s="693">
        <v>103</v>
      </c>
      <c r="O60" s="693"/>
      <c r="P60" s="732" t="s">
        <v>31</v>
      </c>
      <c r="Q60" s="693"/>
      <c r="R60" s="688">
        <v>106</v>
      </c>
      <c r="S60" s="693">
        <v>107</v>
      </c>
      <c r="T60" s="693">
        <v>101</v>
      </c>
      <c r="U60" s="693">
        <v>102</v>
      </c>
      <c r="V60" s="730">
        <v>112</v>
      </c>
      <c r="W60" s="731"/>
      <c r="X60" s="54">
        <f t="shared" si="0"/>
        <v>101.58333333333333</v>
      </c>
      <c r="Y60" s="55">
        <f t="shared" si="1"/>
        <v>12</v>
      </c>
      <c r="Z60" s="56">
        <f t="shared" si="2"/>
        <v>26</v>
      </c>
      <c r="AA60" s="57">
        <f t="shared" si="3"/>
        <v>34</v>
      </c>
      <c r="AC60" s="349">
        <f t="shared" si="4"/>
        <v>101.58333333333333</v>
      </c>
      <c r="AD60" s="504">
        <f t="shared" si="5"/>
        <v>80</v>
      </c>
      <c r="AE60" s="695" t="s">
        <v>693</v>
      </c>
      <c r="AF60" s="384">
        <v>101.58333333333333</v>
      </c>
    </row>
    <row r="61" spans="1:32" ht="14.25" thickBot="1" x14ac:dyDescent="0.2">
      <c r="A61" s="2">
        <f>名簿ﾘｽﾄ!B55</f>
        <v>29</v>
      </c>
      <c r="B61" s="686">
        <v>51</v>
      </c>
      <c r="C61" s="728" t="s">
        <v>683</v>
      </c>
      <c r="D61" s="724"/>
      <c r="E61" s="729" t="s">
        <v>31</v>
      </c>
      <c r="F61" s="693" t="s">
        <v>31</v>
      </c>
      <c r="G61" s="693" t="s">
        <v>31</v>
      </c>
      <c r="H61" s="693"/>
      <c r="I61" s="693" t="s">
        <v>31</v>
      </c>
      <c r="J61" s="693" t="s">
        <v>31</v>
      </c>
      <c r="K61" s="693" t="s">
        <v>31</v>
      </c>
      <c r="L61" s="693" t="s">
        <v>31</v>
      </c>
      <c r="M61" s="693" t="s">
        <v>31</v>
      </c>
      <c r="N61" s="693" t="s">
        <v>31</v>
      </c>
      <c r="O61" s="693"/>
      <c r="P61" s="732" t="s">
        <v>31</v>
      </c>
      <c r="Q61" s="693"/>
      <c r="R61" s="688" t="s">
        <v>31</v>
      </c>
      <c r="S61" s="693" t="s">
        <v>31</v>
      </c>
      <c r="T61" s="693" t="s">
        <v>31</v>
      </c>
      <c r="U61" s="693" t="s">
        <v>31</v>
      </c>
      <c r="V61" s="730" t="s">
        <v>31</v>
      </c>
      <c r="W61" s="731"/>
      <c r="X61" s="54" t="str">
        <f t="shared" si="0"/>
        <v/>
      </c>
      <c r="Y61" s="55">
        <f t="shared" si="1"/>
        <v>0</v>
      </c>
      <c r="Z61" s="56" t="str">
        <f t="shared" si="2"/>
        <v>*</v>
      </c>
      <c r="AA61" s="57" t="str">
        <f t="shared" si="3"/>
        <v>*</v>
      </c>
      <c r="AC61" s="349" t="str">
        <f t="shared" si="4"/>
        <v>*</v>
      </c>
      <c r="AD61" s="504">
        <f t="shared" si="5"/>
        <v>0</v>
      </c>
      <c r="AE61" s="384">
        <v>86.9</v>
      </c>
      <c r="AF61" s="384" t="s">
        <v>31</v>
      </c>
    </row>
    <row r="62" spans="1:32" ht="14.25" thickBot="1" x14ac:dyDescent="0.2">
      <c r="A62" s="2">
        <f>名簿ﾘｽﾄ!B56</f>
        <v>24</v>
      </c>
      <c r="B62" s="686">
        <v>52</v>
      </c>
      <c r="C62" s="728" t="s">
        <v>684</v>
      </c>
      <c r="D62" s="724"/>
      <c r="E62" s="729" t="s">
        <v>31</v>
      </c>
      <c r="F62" s="693" t="s">
        <v>31</v>
      </c>
      <c r="G62" s="693" t="s">
        <v>31</v>
      </c>
      <c r="H62" s="693"/>
      <c r="I62" s="693" t="s">
        <v>31</v>
      </c>
      <c r="J62" s="693" t="s">
        <v>31</v>
      </c>
      <c r="K62" s="693" t="s">
        <v>31</v>
      </c>
      <c r="L62" s="693" t="s">
        <v>31</v>
      </c>
      <c r="M62" s="693" t="s">
        <v>31</v>
      </c>
      <c r="N62" s="693" t="s">
        <v>31</v>
      </c>
      <c r="O62" s="693"/>
      <c r="P62" s="732" t="s">
        <v>31</v>
      </c>
      <c r="Q62" s="693"/>
      <c r="R62" s="688" t="s">
        <v>31</v>
      </c>
      <c r="S62" s="693" t="s">
        <v>31</v>
      </c>
      <c r="T62" s="693" t="s">
        <v>31</v>
      </c>
      <c r="U62" s="693" t="s">
        <v>31</v>
      </c>
      <c r="V62" s="730" t="s">
        <v>31</v>
      </c>
      <c r="W62" s="731"/>
      <c r="X62" s="54" t="str">
        <f t="shared" si="0"/>
        <v/>
      </c>
      <c r="Y62" s="55">
        <f t="shared" si="1"/>
        <v>0</v>
      </c>
      <c r="Z62" s="56" t="str">
        <f t="shared" si="2"/>
        <v>*</v>
      </c>
      <c r="AA62" s="57" t="str">
        <f t="shared" si="3"/>
        <v>*</v>
      </c>
      <c r="AC62" s="349" t="str">
        <f t="shared" si="4"/>
        <v>*</v>
      </c>
      <c r="AD62" s="504">
        <f t="shared" si="5"/>
        <v>0</v>
      </c>
      <c r="AE62" s="384">
        <v>88.4</v>
      </c>
      <c r="AF62" s="384" t="s">
        <v>31</v>
      </c>
    </row>
    <row r="63" spans="1:32" ht="14.25" thickBot="1" x14ac:dyDescent="0.2">
      <c r="A63" s="2">
        <f>名簿ﾘｽﾄ!B57</f>
        <v>12</v>
      </c>
      <c r="B63" s="686">
        <v>53</v>
      </c>
      <c r="C63" s="728" t="s">
        <v>685</v>
      </c>
      <c r="D63" s="724"/>
      <c r="E63" s="729">
        <v>89</v>
      </c>
      <c r="F63" s="693" t="s">
        <v>31</v>
      </c>
      <c r="G63" s="693">
        <v>93</v>
      </c>
      <c r="H63" s="693"/>
      <c r="I63" s="693" t="s">
        <v>31</v>
      </c>
      <c r="J63" s="693" t="s">
        <v>31</v>
      </c>
      <c r="K63" s="693">
        <v>95</v>
      </c>
      <c r="L63" s="693" t="s">
        <v>31</v>
      </c>
      <c r="M63" s="693" t="s">
        <v>31</v>
      </c>
      <c r="N63" s="693">
        <v>86</v>
      </c>
      <c r="O63" s="693"/>
      <c r="P63" s="732">
        <v>90</v>
      </c>
      <c r="Q63" s="693"/>
      <c r="R63" s="688">
        <v>90</v>
      </c>
      <c r="S63" s="693" t="s">
        <v>31</v>
      </c>
      <c r="T63" s="693" t="s">
        <v>31</v>
      </c>
      <c r="U63" s="693" t="s">
        <v>31</v>
      </c>
      <c r="V63" s="730">
        <v>89</v>
      </c>
      <c r="W63" s="731"/>
      <c r="X63" s="54">
        <f t="shared" si="0"/>
        <v>90.285714285714292</v>
      </c>
      <c r="Y63" s="55">
        <f t="shared" si="1"/>
        <v>7</v>
      </c>
      <c r="Z63" s="56" t="str">
        <f t="shared" si="2"/>
        <v>*</v>
      </c>
      <c r="AA63" s="57">
        <f t="shared" si="3"/>
        <v>7</v>
      </c>
      <c r="AC63" s="349" t="str">
        <f t="shared" si="4"/>
        <v>*</v>
      </c>
      <c r="AD63" s="504">
        <f t="shared" si="5"/>
        <v>46.666666666666671</v>
      </c>
      <c r="AE63" s="384">
        <v>99</v>
      </c>
      <c r="AF63" s="384">
        <v>90.285714285714292</v>
      </c>
    </row>
    <row r="64" spans="1:32" ht="14.25" thickBot="1" x14ac:dyDescent="0.2">
      <c r="A64" s="2">
        <f>名簿ﾘｽﾄ!B58</f>
        <v>9</v>
      </c>
      <c r="B64" s="686">
        <v>54</v>
      </c>
      <c r="C64" s="728" t="s">
        <v>686</v>
      </c>
      <c r="D64" s="724"/>
      <c r="E64" s="729">
        <v>88</v>
      </c>
      <c r="F64" s="693">
        <v>95</v>
      </c>
      <c r="G64" s="693">
        <v>85</v>
      </c>
      <c r="H64" s="693"/>
      <c r="I64" s="693" t="s">
        <v>31</v>
      </c>
      <c r="J64" s="693">
        <v>82</v>
      </c>
      <c r="K64" s="693">
        <v>96</v>
      </c>
      <c r="L64" s="693" t="s">
        <v>31</v>
      </c>
      <c r="M64" s="693" t="s">
        <v>31</v>
      </c>
      <c r="N64" s="693" t="s">
        <v>31</v>
      </c>
      <c r="O64" s="693"/>
      <c r="P64" s="732" t="s">
        <v>31</v>
      </c>
      <c r="Q64" s="693"/>
      <c r="R64" s="688">
        <v>92</v>
      </c>
      <c r="S64" s="693" t="s">
        <v>31</v>
      </c>
      <c r="T64" s="693">
        <v>94</v>
      </c>
      <c r="U64" s="693">
        <v>97</v>
      </c>
      <c r="V64" s="730">
        <v>92</v>
      </c>
      <c r="W64" s="731"/>
      <c r="X64" s="54">
        <f t="shared" si="0"/>
        <v>91.222222222222229</v>
      </c>
      <c r="Y64" s="55">
        <f t="shared" si="1"/>
        <v>9</v>
      </c>
      <c r="Z64" s="56">
        <f t="shared" si="2"/>
        <v>8</v>
      </c>
      <c r="AA64" s="57">
        <f t="shared" si="3"/>
        <v>9</v>
      </c>
      <c r="AC64" s="349">
        <f t="shared" si="4"/>
        <v>91.222222222222229</v>
      </c>
      <c r="AD64" s="504">
        <f t="shared" si="5"/>
        <v>60</v>
      </c>
      <c r="AE64" s="384">
        <v>94.7</v>
      </c>
      <c r="AF64" s="384">
        <v>91.222222222222229</v>
      </c>
    </row>
    <row r="65" spans="1:32" ht="14.25" thickBot="1" x14ac:dyDescent="0.2">
      <c r="A65" s="2">
        <f>名簿ﾘｽﾄ!B59</f>
        <v>39</v>
      </c>
      <c r="B65" s="686"/>
      <c r="C65" s="728" t="s">
        <v>687</v>
      </c>
      <c r="D65" s="724"/>
      <c r="E65" s="729" t="s">
        <v>31</v>
      </c>
      <c r="F65" s="693" t="s">
        <v>31</v>
      </c>
      <c r="G65" s="693" t="s">
        <v>31</v>
      </c>
      <c r="H65" s="693"/>
      <c r="I65" s="693" t="s">
        <v>31</v>
      </c>
      <c r="J65" s="693" t="s">
        <v>31</v>
      </c>
      <c r="K65" s="693" t="s">
        <v>31</v>
      </c>
      <c r="L65" s="693" t="s">
        <v>31</v>
      </c>
      <c r="M65" s="693" t="s">
        <v>31</v>
      </c>
      <c r="N65" s="693" t="s">
        <v>31</v>
      </c>
      <c r="O65" s="693"/>
      <c r="P65" s="732" t="s">
        <v>31</v>
      </c>
      <c r="Q65" s="693"/>
      <c r="R65" s="688" t="s">
        <v>31</v>
      </c>
      <c r="S65" s="693" t="s">
        <v>31</v>
      </c>
      <c r="T65" s="693" t="s">
        <v>31</v>
      </c>
      <c r="U65" s="693" t="s">
        <v>31</v>
      </c>
      <c r="V65" s="730" t="s">
        <v>31</v>
      </c>
      <c r="W65" s="731"/>
      <c r="X65" s="54" t="str">
        <f t="shared" si="0"/>
        <v/>
      </c>
      <c r="Y65" s="55">
        <f t="shared" si="1"/>
        <v>0</v>
      </c>
      <c r="Z65" s="56" t="str">
        <f t="shared" si="2"/>
        <v>*</v>
      </c>
      <c r="AA65" s="57" t="str">
        <f t="shared" si="3"/>
        <v>*</v>
      </c>
      <c r="AC65" s="349" t="str">
        <f t="shared" si="4"/>
        <v>*</v>
      </c>
      <c r="AD65" s="504">
        <f t="shared" si="5"/>
        <v>0</v>
      </c>
      <c r="AE65" s="384"/>
      <c r="AF65" s="384" t="s">
        <v>31</v>
      </c>
    </row>
    <row r="66" spans="1:32" ht="14.25" thickBot="1" x14ac:dyDescent="0.2">
      <c r="A66" s="2">
        <f>名簿ﾘｽﾄ!B60</f>
        <v>73</v>
      </c>
      <c r="B66" s="686"/>
      <c r="C66" s="728" t="s">
        <v>688</v>
      </c>
      <c r="D66" s="724"/>
      <c r="E66" s="729">
        <v>91</v>
      </c>
      <c r="F66" s="693" t="s">
        <v>31</v>
      </c>
      <c r="G66" s="693">
        <v>93</v>
      </c>
      <c r="H66" s="693"/>
      <c r="I66" s="693">
        <v>102</v>
      </c>
      <c r="J66" s="693" t="s">
        <v>31</v>
      </c>
      <c r="K66" s="693">
        <v>101</v>
      </c>
      <c r="L66" s="693" t="s">
        <v>31</v>
      </c>
      <c r="M66" s="693">
        <v>97</v>
      </c>
      <c r="N66" s="693">
        <v>92</v>
      </c>
      <c r="O66" s="693"/>
      <c r="P66" s="732">
        <v>89</v>
      </c>
      <c r="Q66" s="693"/>
      <c r="R66" s="688">
        <v>93</v>
      </c>
      <c r="S66" s="693">
        <v>99</v>
      </c>
      <c r="T66" s="693">
        <v>104</v>
      </c>
      <c r="U66" s="693" t="s">
        <v>31</v>
      </c>
      <c r="V66" s="730">
        <v>100</v>
      </c>
      <c r="W66" s="731"/>
      <c r="X66" s="54">
        <f t="shared" si="0"/>
        <v>96.454545454545453</v>
      </c>
      <c r="Y66" s="55">
        <f t="shared" si="1"/>
        <v>11</v>
      </c>
      <c r="Z66" s="56">
        <f t="shared" si="2"/>
        <v>19</v>
      </c>
      <c r="AA66" s="57">
        <f t="shared" si="3"/>
        <v>23</v>
      </c>
      <c r="AC66" s="349">
        <f t="shared" si="4"/>
        <v>96.454545454545453</v>
      </c>
      <c r="AD66" s="504">
        <f t="shared" si="5"/>
        <v>73.333333333333343</v>
      </c>
      <c r="AE66" s="384"/>
      <c r="AF66" s="384">
        <v>96.454545454545453</v>
      </c>
    </row>
    <row r="67" spans="1:32" ht="14.25" thickBot="1" x14ac:dyDescent="0.2">
      <c r="A67" s="2">
        <f>名簿ﾘｽﾄ!B61</f>
        <v>66</v>
      </c>
      <c r="B67" s="686"/>
      <c r="C67" s="728" t="s">
        <v>856</v>
      </c>
      <c r="D67" s="724"/>
      <c r="E67" s="729" t="s">
        <v>31</v>
      </c>
      <c r="F67" s="693" t="s">
        <v>31</v>
      </c>
      <c r="G67" s="693" t="s">
        <v>31</v>
      </c>
      <c r="H67" s="693"/>
      <c r="I67" s="693" t="s">
        <v>31</v>
      </c>
      <c r="J67" s="693" t="s">
        <v>31</v>
      </c>
      <c r="K67" s="693" t="s">
        <v>31</v>
      </c>
      <c r="L67" s="693" t="s">
        <v>31</v>
      </c>
      <c r="M67" s="693" t="s">
        <v>31</v>
      </c>
      <c r="N67" s="693" t="s">
        <v>31</v>
      </c>
      <c r="O67" s="693"/>
      <c r="P67" s="732" t="s">
        <v>31</v>
      </c>
      <c r="Q67" s="693"/>
      <c r="R67" s="688" t="s">
        <v>31</v>
      </c>
      <c r="S67" s="693" t="s">
        <v>31</v>
      </c>
      <c r="T67" s="693">
        <v>106</v>
      </c>
      <c r="U67" s="693" t="s">
        <v>31</v>
      </c>
      <c r="V67" s="730" t="s">
        <v>31</v>
      </c>
      <c r="W67" s="731"/>
      <c r="X67" s="54">
        <f t="shared" si="0"/>
        <v>106</v>
      </c>
      <c r="Y67" s="55">
        <f t="shared" si="1"/>
        <v>1</v>
      </c>
      <c r="Z67" s="56" t="str">
        <f t="shared" si="2"/>
        <v>*</v>
      </c>
      <c r="AA67" s="57">
        <f t="shared" si="3"/>
        <v>37</v>
      </c>
      <c r="AC67" s="349" t="str">
        <f t="shared" si="4"/>
        <v>*</v>
      </c>
      <c r="AD67" s="504">
        <f t="shared" si="5"/>
        <v>6.666666666666667</v>
      </c>
      <c r="AE67" s="384"/>
      <c r="AF67" s="384">
        <v>106</v>
      </c>
    </row>
    <row r="68" spans="1:32" ht="14.25" thickBot="1" x14ac:dyDescent="0.2">
      <c r="A68" s="2">
        <f>名簿ﾘｽﾄ!B62</f>
        <v>0</v>
      </c>
      <c r="B68" s="686"/>
      <c r="C68" s="728" t="s">
        <v>860</v>
      </c>
      <c r="D68" s="724"/>
      <c r="E68" s="729" t="s">
        <v>31</v>
      </c>
      <c r="F68" s="693" t="s">
        <v>31</v>
      </c>
      <c r="G68" s="693" t="s">
        <v>31</v>
      </c>
      <c r="H68" s="693"/>
      <c r="I68" s="693" t="s">
        <v>31</v>
      </c>
      <c r="J68" s="693" t="s">
        <v>31</v>
      </c>
      <c r="K68" s="693">
        <v>93</v>
      </c>
      <c r="L68" s="693">
        <v>94</v>
      </c>
      <c r="M68" s="693" t="s">
        <v>31</v>
      </c>
      <c r="N68" s="693" t="s">
        <v>31</v>
      </c>
      <c r="O68" s="693"/>
      <c r="P68" s="732" t="s">
        <v>31</v>
      </c>
      <c r="Q68" s="693"/>
      <c r="R68" s="688" t="s">
        <v>31</v>
      </c>
      <c r="S68" s="693" t="s">
        <v>31</v>
      </c>
      <c r="T68" s="693" t="s">
        <v>31</v>
      </c>
      <c r="U68" s="693" t="s">
        <v>31</v>
      </c>
      <c r="V68" s="730" t="s">
        <v>31</v>
      </c>
      <c r="W68" s="731"/>
      <c r="X68" s="54">
        <f t="shared" si="0"/>
        <v>93.5</v>
      </c>
      <c r="Y68" s="55">
        <f t="shared" si="1"/>
        <v>2</v>
      </c>
      <c r="Z68" s="56" t="str">
        <f t="shared" si="2"/>
        <v>*</v>
      </c>
      <c r="AA68" s="57">
        <f t="shared" si="3"/>
        <v>14</v>
      </c>
      <c r="AC68" s="349" t="str">
        <f t="shared" si="4"/>
        <v>*</v>
      </c>
      <c r="AD68" s="504">
        <f t="shared" si="5"/>
        <v>13.333333333333334</v>
      </c>
      <c r="AE68" s="384"/>
      <c r="AF68" s="384">
        <v>93.5</v>
      </c>
    </row>
    <row r="69" spans="1:32" ht="14.25" thickBot="1" x14ac:dyDescent="0.2">
      <c r="A69" s="2">
        <f>名簿ﾘｽﾄ!B63</f>
        <v>0</v>
      </c>
      <c r="B69" s="686"/>
      <c r="C69" s="728" t="s">
        <v>31</v>
      </c>
      <c r="D69" s="724"/>
      <c r="E69" s="729" t="s">
        <v>31</v>
      </c>
      <c r="F69" s="693" t="s">
        <v>31</v>
      </c>
      <c r="G69" s="693" t="s">
        <v>31</v>
      </c>
      <c r="H69" s="693"/>
      <c r="I69" s="693" t="s">
        <v>31</v>
      </c>
      <c r="J69" s="693" t="s">
        <v>31</v>
      </c>
      <c r="K69" s="693" t="s">
        <v>31</v>
      </c>
      <c r="L69" s="693" t="s">
        <v>31</v>
      </c>
      <c r="M69" s="693" t="s">
        <v>31</v>
      </c>
      <c r="N69" s="693" t="s">
        <v>31</v>
      </c>
      <c r="O69" s="693"/>
      <c r="P69" s="732" t="s">
        <v>31</v>
      </c>
      <c r="Q69" s="693"/>
      <c r="R69" s="688" t="s">
        <v>31</v>
      </c>
      <c r="S69" s="693" t="s">
        <v>31</v>
      </c>
      <c r="T69" s="693" t="s">
        <v>31</v>
      </c>
      <c r="U69" s="693" t="s">
        <v>31</v>
      </c>
      <c r="V69" s="730" t="s">
        <v>31</v>
      </c>
      <c r="W69" s="731"/>
      <c r="X69" s="54" t="str">
        <f t="shared" si="0"/>
        <v/>
      </c>
      <c r="Y69" s="55" t="str">
        <f t="shared" si="1"/>
        <v/>
      </c>
      <c r="Z69" s="56" t="str">
        <f t="shared" si="2"/>
        <v/>
      </c>
      <c r="AA69" s="57" t="str">
        <f t="shared" si="3"/>
        <v/>
      </c>
      <c r="AC69" s="349" t="str">
        <f t="shared" si="4"/>
        <v/>
      </c>
      <c r="AD69" s="504" t="str">
        <f t="shared" si="5"/>
        <v/>
      </c>
      <c r="AE69" s="384"/>
      <c r="AF69" s="384" t="s">
        <v>31</v>
      </c>
    </row>
    <row r="70" spans="1:32" ht="14.25" thickBot="1" x14ac:dyDescent="0.2">
      <c r="A70" s="2">
        <f>名簿ﾘｽﾄ!B64</f>
        <v>0</v>
      </c>
      <c r="B70" s="686"/>
      <c r="C70" s="728" t="s">
        <v>31</v>
      </c>
      <c r="D70" s="724"/>
      <c r="E70" s="729" t="s">
        <v>31</v>
      </c>
      <c r="F70" s="693" t="s">
        <v>31</v>
      </c>
      <c r="G70" s="693" t="s">
        <v>31</v>
      </c>
      <c r="H70" s="693"/>
      <c r="I70" s="693" t="s">
        <v>31</v>
      </c>
      <c r="J70" s="693" t="s">
        <v>31</v>
      </c>
      <c r="K70" s="693" t="s">
        <v>31</v>
      </c>
      <c r="L70" s="693" t="s">
        <v>31</v>
      </c>
      <c r="M70" s="693" t="s">
        <v>31</v>
      </c>
      <c r="N70" s="693" t="s">
        <v>31</v>
      </c>
      <c r="O70" s="693"/>
      <c r="P70" s="732" t="s">
        <v>31</v>
      </c>
      <c r="Q70" s="693"/>
      <c r="R70" s="688" t="s">
        <v>31</v>
      </c>
      <c r="S70" s="693" t="s">
        <v>31</v>
      </c>
      <c r="T70" s="693" t="s">
        <v>31</v>
      </c>
      <c r="U70" s="693" t="s">
        <v>31</v>
      </c>
      <c r="V70" s="730" t="s">
        <v>31</v>
      </c>
      <c r="W70" s="731"/>
      <c r="X70" s="54" t="str">
        <f t="shared" si="0"/>
        <v/>
      </c>
      <c r="Y70" s="55" t="str">
        <f t="shared" si="1"/>
        <v/>
      </c>
      <c r="Z70" s="56" t="str">
        <f t="shared" si="2"/>
        <v/>
      </c>
      <c r="AA70" s="57" t="str">
        <f t="shared" si="3"/>
        <v/>
      </c>
      <c r="AC70" s="349" t="str">
        <f t="shared" si="4"/>
        <v/>
      </c>
      <c r="AD70" s="504" t="str">
        <f t="shared" si="5"/>
        <v/>
      </c>
      <c r="AE70" s="402"/>
      <c r="AF70" s="402" t="s">
        <v>31</v>
      </c>
    </row>
    <row r="71" spans="1:32" ht="14.25" thickBot="1" x14ac:dyDescent="0.2">
      <c r="A71" s="2">
        <f>名簿ﾘｽﾄ!B65</f>
        <v>0</v>
      </c>
      <c r="B71" s="686"/>
      <c r="C71" s="728" t="s">
        <v>31</v>
      </c>
      <c r="D71" s="724"/>
      <c r="E71" s="729" t="s">
        <v>31</v>
      </c>
      <c r="F71" s="693" t="s">
        <v>31</v>
      </c>
      <c r="G71" s="693" t="s">
        <v>31</v>
      </c>
      <c r="H71" s="693"/>
      <c r="I71" s="693" t="s">
        <v>31</v>
      </c>
      <c r="J71" s="693" t="s">
        <v>31</v>
      </c>
      <c r="K71" s="693" t="s">
        <v>31</v>
      </c>
      <c r="L71" s="693" t="s">
        <v>31</v>
      </c>
      <c r="M71" s="693" t="s">
        <v>31</v>
      </c>
      <c r="N71" s="693" t="s">
        <v>31</v>
      </c>
      <c r="O71" s="693"/>
      <c r="P71" s="732" t="s">
        <v>31</v>
      </c>
      <c r="Q71" s="693"/>
      <c r="R71" s="688" t="s">
        <v>31</v>
      </c>
      <c r="S71" s="693" t="s">
        <v>31</v>
      </c>
      <c r="T71" s="693" t="s">
        <v>31</v>
      </c>
      <c r="U71" s="693" t="s">
        <v>31</v>
      </c>
      <c r="V71" s="730" t="s">
        <v>31</v>
      </c>
      <c r="W71" s="731"/>
      <c r="X71" s="54" t="str">
        <f t="shared" si="0"/>
        <v/>
      </c>
      <c r="Y71" s="55" t="str">
        <f t="shared" si="1"/>
        <v/>
      </c>
      <c r="Z71" s="56" t="str">
        <f t="shared" si="2"/>
        <v/>
      </c>
      <c r="AA71" s="57" t="str">
        <f t="shared" si="3"/>
        <v/>
      </c>
      <c r="AC71" s="349" t="str">
        <f t="shared" si="4"/>
        <v/>
      </c>
      <c r="AD71" s="504" t="str">
        <f t="shared" si="5"/>
        <v/>
      </c>
      <c r="AE71" s="402"/>
      <c r="AF71" s="402" t="s">
        <v>31</v>
      </c>
    </row>
    <row r="72" spans="1:32" ht="14.25" thickBot="1" x14ac:dyDescent="0.2">
      <c r="A72" s="2">
        <f>名簿ﾘｽﾄ!B66</f>
        <v>0</v>
      </c>
      <c r="B72" s="686"/>
      <c r="C72" s="728" t="s">
        <v>31</v>
      </c>
      <c r="D72" s="724"/>
      <c r="E72" s="729" t="s">
        <v>31</v>
      </c>
      <c r="F72" s="693" t="s">
        <v>31</v>
      </c>
      <c r="G72" s="693" t="s">
        <v>31</v>
      </c>
      <c r="H72" s="693"/>
      <c r="I72" s="693" t="s">
        <v>31</v>
      </c>
      <c r="J72" s="693" t="s">
        <v>31</v>
      </c>
      <c r="K72" s="693" t="s">
        <v>31</v>
      </c>
      <c r="L72" s="693" t="s">
        <v>31</v>
      </c>
      <c r="M72" s="693" t="s">
        <v>31</v>
      </c>
      <c r="N72" s="693" t="s">
        <v>31</v>
      </c>
      <c r="O72" s="693"/>
      <c r="P72" s="732" t="s">
        <v>31</v>
      </c>
      <c r="Q72" s="693"/>
      <c r="R72" s="688" t="s">
        <v>31</v>
      </c>
      <c r="S72" s="693" t="s">
        <v>31</v>
      </c>
      <c r="T72" s="693" t="s">
        <v>31</v>
      </c>
      <c r="U72" s="693" t="s">
        <v>31</v>
      </c>
      <c r="V72" s="730" t="s">
        <v>31</v>
      </c>
      <c r="W72" s="731"/>
      <c r="X72" s="54" t="str">
        <f t="shared" si="0"/>
        <v/>
      </c>
      <c r="Y72" s="55" t="str">
        <f t="shared" si="1"/>
        <v/>
      </c>
      <c r="Z72" s="56" t="str">
        <f t="shared" si="2"/>
        <v/>
      </c>
      <c r="AA72" s="57" t="str">
        <f t="shared" si="3"/>
        <v/>
      </c>
      <c r="AC72" s="349" t="str">
        <f t="shared" si="4"/>
        <v/>
      </c>
      <c r="AD72" s="504" t="str">
        <f t="shared" si="5"/>
        <v/>
      </c>
      <c r="AE72" s="402"/>
      <c r="AF72" s="402" t="s">
        <v>31</v>
      </c>
    </row>
    <row r="73" spans="1:32" ht="14.25" thickBot="1" x14ac:dyDescent="0.2">
      <c r="A73" s="2">
        <f>名簿ﾘｽﾄ!B67</f>
        <v>0</v>
      </c>
      <c r="B73" s="686"/>
      <c r="C73" s="331" t="s">
        <v>31</v>
      </c>
      <c r="D73" s="684"/>
      <c r="E73" s="691"/>
      <c r="F73" s="692"/>
      <c r="G73" s="692"/>
      <c r="H73" s="692"/>
      <c r="I73" s="692"/>
      <c r="J73" s="692"/>
      <c r="K73" s="692"/>
      <c r="L73" s="692"/>
      <c r="M73" s="692"/>
      <c r="N73" s="692"/>
      <c r="O73" s="692"/>
      <c r="P73" s="692"/>
      <c r="Q73" s="692"/>
      <c r="R73" s="692"/>
      <c r="S73" s="693"/>
      <c r="T73" s="692"/>
      <c r="U73" s="692"/>
      <c r="V73" s="692"/>
      <c r="W73" s="694"/>
      <c r="X73" s="54" t="str">
        <f t="shared" si="0"/>
        <v/>
      </c>
      <c r="Y73" s="55" t="str">
        <f t="shared" si="1"/>
        <v/>
      </c>
      <c r="Z73" s="56" t="str">
        <f t="shared" si="2"/>
        <v/>
      </c>
      <c r="AA73" s="57" t="str">
        <f t="shared" si="3"/>
        <v/>
      </c>
      <c r="AC73" s="349" t="str">
        <f t="shared" si="4"/>
        <v/>
      </c>
      <c r="AD73" s="504" t="str">
        <f t="shared" si="5"/>
        <v/>
      </c>
      <c r="AE73" s="402"/>
      <c r="AF73" s="402" t="s">
        <v>31</v>
      </c>
    </row>
    <row r="74" spans="1:32" ht="14.25" thickBot="1" x14ac:dyDescent="0.2">
      <c r="B74" s="686" t="str">
        <f>IF(名簿ﾘｽﾄ!C68="","",名簿ﾘｽﾄ!C68)</f>
        <v/>
      </c>
      <c r="C74" s="331" t="s">
        <v>31</v>
      </c>
      <c r="D74" s="684"/>
      <c r="E74" s="689"/>
      <c r="F74" s="687"/>
      <c r="G74" s="687"/>
      <c r="H74" s="687"/>
      <c r="I74" s="687"/>
      <c r="J74" s="687"/>
      <c r="K74" s="687"/>
      <c r="L74" s="687"/>
      <c r="M74" s="687"/>
      <c r="N74" s="687"/>
      <c r="O74" s="687"/>
      <c r="P74" s="687"/>
      <c r="Q74" s="687"/>
      <c r="R74" s="687"/>
      <c r="S74" s="688"/>
      <c r="T74" s="687"/>
      <c r="U74" s="687"/>
      <c r="V74" s="687"/>
      <c r="W74" s="690"/>
      <c r="X74" s="54" t="str">
        <f t="shared" si="0"/>
        <v/>
      </c>
      <c r="Y74" s="55" t="str">
        <f t="shared" si="1"/>
        <v/>
      </c>
      <c r="Z74" s="56" t="str">
        <f t="shared" si="2"/>
        <v/>
      </c>
      <c r="AA74" s="57" t="str">
        <f t="shared" si="3"/>
        <v/>
      </c>
      <c r="AC74" s="349" t="str">
        <f t="shared" si="4"/>
        <v/>
      </c>
      <c r="AD74" s="504" t="str">
        <f t="shared" si="5"/>
        <v/>
      </c>
      <c r="AE74" s="402"/>
      <c r="AF74" s="402" t="s">
        <v>31</v>
      </c>
    </row>
    <row r="75" spans="1:32" ht="14.25" thickBot="1" x14ac:dyDescent="0.2">
      <c r="B75" s="686" t="str">
        <f>IF(名簿ﾘｽﾄ!C69="","",名簿ﾘｽﾄ!C69)</f>
        <v/>
      </c>
      <c r="C75" s="331" t="s">
        <v>31</v>
      </c>
      <c r="D75" s="685"/>
      <c r="E75" s="689"/>
      <c r="F75" s="687"/>
      <c r="G75" s="687"/>
      <c r="H75" s="687"/>
      <c r="I75" s="687"/>
      <c r="J75" s="687"/>
      <c r="K75" s="687"/>
      <c r="L75" s="687"/>
      <c r="M75" s="687"/>
      <c r="N75" s="687"/>
      <c r="O75" s="687"/>
      <c r="P75" s="687"/>
      <c r="Q75" s="687"/>
      <c r="R75" s="687"/>
      <c r="S75" s="688"/>
      <c r="T75" s="687"/>
      <c r="U75" s="687"/>
      <c r="V75" s="687"/>
      <c r="W75" s="690"/>
      <c r="X75" s="54" t="str">
        <f t="shared" si="0"/>
        <v/>
      </c>
      <c r="Y75" s="55" t="str">
        <f t="shared" si="1"/>
        <v/>
      </c>
      <c r="Z75" s="56" t="str">
        <f t="shared" si="2"/>
        <v/>
      </c>
      <c r="AA75" s="57" t="str">
        <f t="shared" si="3"/>
        <v/>
      </c>
      <c r="AC75" s="349" t="str">
        <f t="shared" si="4"/>
        <v/>
      </c>
      <c r="AD75" s="504" t="str">
        <f t="shared" si="5"/>
        <v/>
      </c>
      <c r="AE75" s="400">
        <v>104.25</v>
      </c>
      <c r="AF75" s="400" t="s">
        <v>31</v>
      </c>
    </row>
    <row r="76" spans="1:32" ht="15" thickTop="1" thickBot="1" x14ac:dyDescent="0.2">
      <c r="B76" s="329"/>
      <c r="C76" s="330" t="s">
        <v>16</v>
      </c>
      <c r="D76" s="47"/>
      <c r="E76" s="329">
        <f>SUM(E11:E73)</f>
        <v>3309</v>
      </c>
      <c r="F76" s="52">
        <f t="shared" ref="F76:W76" si="6">SUM(F11:F73)</f>
        <v>1861</v>
      </c>
      <c r="G76" s="52">
        <f t="shared" si="6"/>
        <v>2563</v>
      </c>
      <c r="H76" s="52">
        <f t="shared" si="6"/>
        <v>0</v>
      </c>
      <c r="I76" s="52">
        <f t="shared" si="6"/>
        <v>2807</v>
      </c>
      <c r="J76" s="52">
        <f t="shared" si="6"/>
        <v>1271</v>
      </c>
      <c r="K76" s="52">
        <f t="shared" si="6"/>
        <v>3334</v>
      </c>
      <c r="L76" s="52">
        <f t="shared" si="6"/>
        <v>1775</v>
      </c>
      <c r="M76" s="52">
        <f t="shared" si="6"/>
        <v>1909</v>
      </c>
      <c r="N76" s="52">
        <f t="shared" si="6"/>
        <v>1729</v>
      </c>
      <c r="O76" s="52">
        <f t="shared" si="6"/>
        <v>0</v>
      </c>
      <c r="P76" s="52">
        <f t="shared" si="6"/>
        <v>2618</v>
      </c>
      <c r="Q76" s="52">
        <f t="shared" si="6"/>
        <v>0</v>
      </c>
      <c r="R76" s="52">
        <f t="shared" si="6"/>
        <v>2872</v>
      </c>
      <c r="S76" s="52">
        <f t="shared" si="6"/>
        <v>2906</v>
      </c>
      <c r="T76" s="52">
        <f t="shared" si="6"/>
        <v>2657</v>
      </c>
      <c r="U76" s="52">
        <f t="shared" si="6"/>
        <v>2473</v>
      </c>
      <c r="V76" s="52">
        <f t="shared" si="6"/>
        <v>2833</v>
      </c>
      <c r="W76" s="697">
        <f t="shared" si="6"/>
        <v>0</v>
      </c>
      <c r="X76" s="60">
        <f>SUM(E76:W76)</f>
        <v>36917</v>
      </c>
      <c r="Y76" s="61"/>
      <c r="Z76" s="62"/>
      <c r="AA76" s="63"/>
      <c r="AC76" s="23"/>
      <c r="AD76" s="23"/>
      <c r="AE76" s="15"/>
    </row>
    <row r="77" spans="1:32" x14ac:dyDescent="0.15">
      <c r="B77" s="84" t="s">
        <v>17</v>
      </c>
      <c r="C77" s="85"/>
      <c r="D77" s="31"/>
      <c r="E77" s="698">
        <f>COUNT(E11:E73)</f>
        <v>34</v>
      </c>
      <c r="F77" s="332">
        <f t="shared" ref="F77:W77" si="7">COUNT(F11:F73)</f>
        <v>19</v>
      </c>
      <c r="G77" s="332">
        <f t="shared" si="7"/>
        <v>28</v>
      </c>
      <c r="H77" s="332">
        <f t="shared" si="7"/>
        <v>0</v>
      </c>
      <c r="I77" s="332">
        <f t="shared" si="7"/>
        <v>29</v>
      </c>
      <c r="J77" s="332">
        <f t="shared" si="7"/>
        <v>14</v>
      </c>
      <c r="K77" s="332">
        <f t="shared" si="7"/>
        <v>34</v>
      </c>
      <c r="L77" s="332">
        <f t="shared" si="7"/>
        <v>19</v>
      </c>
      <c r="M77" s="332">
        <f t="shared" si="7"/>
        <v>21</v>
      </c>
      <c r="N77" s="332">
        <f t="shared" si="7"/>
        <v>19</v>
      </c>
      <c r="O77" s="332">
        <f t="shared" si="7"/>
        <v>0</v>
      </c>
      <c r="P77" s="332">
        <f t="shared" si="7"/>
        <v>28</v>
      </c>
      <c r="Q77" s="332">
        <f t="shared" si="7"/>
        <v>0</v>
      </c>
      <c r="R77" s="332">
        <f t="shared" si="7"/>
        <v>30</v>
      </c>
      <c r="S77" s="332">
        <f t="shared" si="7"/>
        <v>30</v>
      </c>
      <c r="T77" s="332">
        <f t="shared" si="7"/>
        <v>27</v>
      </c>
      <c r="U77" s="332">
        <f t="shared" si="7"/>
        <v>26</v>
      </c>
      <c r="V77" s="332">
        <f t="shared" si="7"/>
        <v>29</v>
      </c>
      <c r="W77" s="699">
        <f t="shared" si="7"/>
        <v>0</v>
      </c>
      <c r="X77" s="64"/>
      <c r="Y77" s="65"/>
      <c r="Z77" s="66"/>
      <c r="AA77" s="40"/>
      <c r="AB77" s="41"/>
      <c r="AC77" s="41"/>
      <c r="AE77" s="3"/>
    </row>
    <row r="78" spans="1:32" x14ac:dyDescent="0.15">
      <c r="B78" s="86" t="s">
        <v>18</v>
      </c>
      <c r="C78" s="87"/>
      <c r="D78" s="88"/>
      <c r="E78" s="700">
        <f>IF(SUM(E11:E73)=0,"",AVERAGE(E11:E73))</f>
        <v>97.32352941176471</v>
      </c>
      <c r="F78" s="68">
        <f t="shared" ref="F78:W78" si="8">IF(SUM(F11:F73)=0,"",AVERAGE(F11:F73))</f>
        <v>97.94736842105263</v>
      </c>
      <c r="G78" s="68">
        <f t="shared" si="8"/>
        <v>91.535714285714292</v>
      </c>
      <c r="H78" s="68" t="str">
        <f t="shared" si="8"/>
        <v/>
      </c>
      <c r="I78" s="68">
        <f t="shared" si="8"/>
        <v>96.793103448275858</v>
      </c>
      <c r="J78" s="68">
        <f t="shared" si="8"/>
        <v>90.785714285714292</v>
      </c>
      <c r="K78" s="68">
        <f t="shared" si="8"/>
        <v>98.058823529411768</v>
      </c>
      <c r="L78" s="68">
        <f t="shared" si="8"/>
        <v>93.421052631578945</v>
      </c>
      <c r="M78" s="68">
        <f t="shared" si="8"/>
        <v>90.904761904761898</v>
      </c>
      <c r="N78" s="68">
        <f t="shared" si="8"/>
        <v>91</v>
      </c>
      <c r="O78" s="68" t="str">
        <f t="shared" si="8"/>
        <v/>
      </c>
      <c r="P78" s="68">
        <f t="shared" si="8"/>
        <v>93.5</v>
      </c>
      <c r="Q78" s="68" t="str">
        <f t="shared" si="8"/>
        <v/>
      </c>
      <c r="R78" s="68">
        <f t="shared" si="8"/>
        <v>95.733333333333334</v>
      </c>
      <c r="S78" s="68">
        <f t="shared" si="8"/>
        <v>96.86666666666666</v>
      </c>
      <c r="T78" s="68">
        <f t="shared" si="8"/>
        <v>98.407407407407405</v>
      </c>
      <c r="U78" s="68">
        <f t="shared" si="8"/>
        <v>95.115384615384613</v>
      </c>
      <c r="V78" s="68">
        <f t="shared" si="8"/>
        <v>97.689655172413794</v>
      </c>
      <c r="W78" s="701" t="str">
        <f t="shared" si="8"/>
        <v/>
      </c>
      <c r="X78" s="67">
        <f>SUM(E76:W76)/SUM(E77:W77)</f>
        <v>95.392764857881133</v>
      </c>
      <c r="Y78" s="68"/>
      <c r="Z78" s="69"/>
      <c r="AA78" s="45" t="s">
        <v>362</v>
      </c>
      <c r="AB78" s="41"/>
      <c r="AC78" s="41"/>
      <c r="AE78" s="3"/>
    </row>
    <row r="79" spans="1:32" x14ac:dyDescent="0.15">
      <c r="B79" s="83" t="s">
        <v>19</v>
      </c>
      <c r="C79" s="32" t="s">
        <v>14</v>
      </c>
      <c r="D79" s="88"/>
      <c r="E79" s="702">
        <f>IF(E77=0,"-",MIN(E11:E73))</f>
        <v>84</v>
      </c>
      <c r="F79" s="657">
        <f t="shared" ref="F79:W79" si="9">IF(F77=0,"-",MIN(F11:F73))</f>
        <v>86</v>
      </c>
      <c r="G79" s="657">
        <f t="shared" si="9"/>
        <v>80</v>
      </c>
      <c r="H79" s="657" t="str">
        <f t="shared" si="9"/>
        <v>-</v>
      </c>
      <c r="I79" s="657">
        <f t="shared" si="9"/>
        <v>84</v>
      </c>
      <c r="J79" s="657">
        <f t="shared" si="9"/>
        <v>80</v>
      </c>
      <c r="K79" s="657">
        <f t="shared" si="9"/>
        <v>77</v>
      </c>
      <c r="L79" s="657">
        <f t="shared" si="9"/>
        <v>84</v>
      </c>
      <c r="M79" s="657">
        <f t="shared" si="9"/>
        <v>79</v>
      </c>
      <c r="N79" s="657">
        <f t="shared" si="9"/>
        <v>75</v>
      </c>
      <c r="O79" s="657" t="str">
        <f t="shared" si="9"/>
        <v>-</v>
      </c>
      <c r="P79" s="657">
        <f t="shared" si="9"/>
        <v>79</v>
      </c>
      <c r="Q79" s="657" t="str">
        <f t="shared" si="9"/>
        <v>-</v>
      </c>
      <c r="R79" s="657">
        <f t="shared" si="9"/>
        <v>82</v>
      </c>
      <c r="S79" s="657">
        <f t="shared" si="9"/>
        <v>81</v>
      </c>
      <c r="T79" s="657">
        <f t="shared" si="9"/>
        <v>85</v>
      </c>
      <c r="U79" s="657">
        <f t="shared" si="9"/>
        <v>83</v>
      </c>
      <c r="V79" s="657">
        <f t="shared" si="9"/>
        <v>80</v>
      </c>
      <c r="W79" s="703" t="str">
        <f t="shared" si="9"/>
        <v>-</v>
      </c>
      <c r="X79" s="67">
        <f>AVERAGE(E79:W79)</f>
        <v>81.266666666666666</v>
      </c>
      <c r="Y79" s="70"/>
      <c r="Z79" s="71"/>
      <c r="AA79" s="40"/>
      <c r="AB79" s="41"/>
      <c r="AC79" s="40" t="s">
        <v>420</v>
      </c>
      <c r="AD79" s="8">
        <f>COUNT(E78:W78)</f>
        <v>15</v>
      </c>
    </row>
    <row r="80" spans="1:32" x14ac:dyDescent="0.15">
      <c r="B80" s="33"/>
      <c r="C80" s="89" t="s">
        <v>20</v>
      </c>
      <c r="D80" s="38"/>
      <c r="E80" s="704" t="str">
        <f t="array" ref="E80">IF(COUNTIF(E$11:E$73,E$79)&lt;ROW($A1),"",INDEX($C$11:$C$73,SMALL(IF(E$11:E$73=E$79,ROW($C$1:$C$63)),ROW($A1))))</f>
        <v>近藤裕</v>
      </c>
      <c r="F80" s="90" t="str">
        <f t="array" ref="F80">IF(COUNTIF(F$11:F$73,F$79)&lt;ROW($A1),"",INDEX($C$11:$C$73,SMALL(IF(F$11:F$73=F$79,ROW($C$1:$C$63)),ROW($A1))))</f>
        <v>中山</v>
      </c>
      <c r="G80" s="90" t="str">
        <f t="array" ref="G80">IF(COUNTIF(G$11:G$73,G$79)&lt;ROW($A1),"",INDEX($C$11:$C$73,SMALL(IF(G$11:G$73=G$79,ROW($C$1:$C$63)),ROW($A1))))</f>
        <v>田中</v>
      </c>
      <c r="H80" s="90" t="str">
        <f t="array" ref="H80">IF(COUNTIF(H$11:H$73,H$79)&lt;ROW($A1),"",INDEX($C$11:$C$73,SMALL(IF(H$11:H$73=H$79,ROW($C$1:$C$63)),ROW($A1))))</f>
        <v/>
      </c>
      <c r="I80" s="90" t="str">
        <f t="array" ref="I80">IF(COUNTIF(I$11:I$73,I$79)&lt;ROW($A1),"",INDEX($C$11:$C$73,SMALL(IF(I$11:I$73=I$79,ROW($C$1:$C$63)),ROW($A1))))</f>
        <v>田中</v>
      </c>
      <c r="J80" s="90" t="str">
        <f t="array" ref="J80">IF(COUNTIF(J$11:J$73,J$79)&lt;ROW($A1),"",INDEX($C$11:$C$73,SMALL(IF(J$11:J$73=J$79,ROW($C$1:$C$63)),ROW($A1))))</f>
        <v>南村</v>
      </c>
      <c r="K80" s="90" t="str">
        <f t="array" ref="K80">IF(COUNTIF(K$11:K$73,K$79)&lt;ROW($A1),"",INDEX($C$11:$C$73,SMALL(IF(K$11:K$73=K$79,ROW($C$1:$C$63)),ROW($A1))))</f>
        <v>田中</v>
      </c>
      <c r="L80" s="90" t="str">
        <f t="array" ref="L80">IF(COUNTIF(L$11:L$73,L$79)&lt;ROW($A1),"",INDEX($C$11:$C$73,SMALL(IF(L$11:L$73=L$79,ROW($C$1:$C$63)),ROW($A1))))</f>
        <v>近藤裕</v>
      </c>
      <c r="M80" s="90" t="str">
        <f t="array" ref="M80">IF(COUNTIF(M$11:M$73,M$79)&lt;ROW($A1),"",INDEX($C$11:$C$73,SMALL(IF(M$11:M$73=M$79,ROW($C$1:$C$63)),ROW($A1))))</f>
        <v>神崎</v>
      </c>
      <c r="N80" s="90" t="str">
        <f t="array" ref="N80">IF(COUNTIF(N$11:N$73,N$79)&lt;ROW($A1),"",INDEX($C$11:$C$73,SMALL(IF(N$11:N$73=N$79,ROW($C$1:$C$63)),ROW($A1))))</f>
        <v>南村</v>
      </c>
      <c r="O80" s="90" t="str">
        <f t="array" ref="O80">IF(COUNTIF(O$11:O$73,O$79)&lt;ROW($A1),"",INDEX($C$11:$C$73,SMALL(IF(O$11:O$73=O$79,ROW($C$1:$C$63)),ROW($A1))))</f>
        <v/>
      </c>
      <c r="P80" s="90" t="str">
        <f t="array" ref="P80">IF(COUNTIF(P$11:P$73,P$79)&lt;ROW($A1),"",INDEX($C$11:$C$73,SMALL(IF(P$11:P$73=P$79,ROW($C$1:$C$63)),ROW($A1))))</f>
        <v>近藤裕</v>
      </c>
      <c r="Q80" s="90" t="str">
        <f t="array" ref="Q80">IF(COUNTIF(Q$11:Q$73,Q$79)&lt;ROW($A1),"",INDEX($C$11:$C$73,SMALL(IF(Q$11:Q$73=Q$79,ROW($C$1:$C$63)),ROW($A1))))</f>
        <v/>
      </c>
      <c r="R80" s="90" t="str">
        <f t="array" ref="R80">IF(COUNTIF(R$11:R$73,R$79)&lt;ROW($A1),"",INDEX($C$11:$C$73,SMALL(IF(R$11:R$73=R$79,ROW($C$1:$C$63)),ROW($A1))))</f>
        <v>近藤裕</v>
      </c>
      <c r="S80" s="90" t="str">
        <f t="array" ref="S80">IF(COUNTIF(S$11:S$73,S$79)&lt;ROW($A1),"",INDEX($C$11:$C$73,SMALL(IF(S$11:S$73=S$79,ROW($C$1:$C$63)),ROW($A1))))</f>
        <v>近藤裕</v>
      </c>
      <c r="T80" s="90" t="str">
        <f t="array" ref="T80">IF(COUNTIF(T$11:T$73,T$79)&lt;ROW($A1),"",INDEX($C$11:$C$73,SMALL(IF(T$11:T$73=T$79,ROW($C$1:$C$63)),ROW($A1))))</f>
        <v>近藤裕</v>
      </c>
      <c r="U80" s="90" t="str">
        <f t="array" ref="U80">IF(COUNTIF(U$11:U$73,U$79)&lt;ROW($A1),"",INDEX($C$11:$C$73,SMALL(IF(U$11:U$73=U$79,ROW($C$1:$C$63)),ROW($A1))))</f>
        <v>神崎</v>
      </c>
      <c r="V80" s="90" t="str">
        <f t="array" ref="V80">IF(COUNTIF(V$11:V$73,V$79)&lt;ROW($A1),"",INDEX($C$11:$C$73,SMALL(IF(V$11:V$73=V$79,ROW($C$1:$C$63)),ROW($A1))))</f>
        <v>神崎</v>
      </c>
      <c r="W80" s="705" t="str">
        <f t="array" ref="W80">IF(COUNTIF(W$11:W$73,W$79)&lt;ROW($A1),"",INDEX($C$11:$C$73,SMALL(IF(W$11:W$73=W$79,ROW($C$1:$C$63)),ROW($A1))))</f>
        <v/>
      </c>
      <c r="X80" s="72"/>
      <c r="Y80" s="58"/>
      <c r="Z80" s="73"/>
      <c r="AA80" s="40"/>
      <c r="AB80" s="41"/>
      <c r="AC80" s="41"/>
    </row>
    <row r="81" spans="1:31" x14ac:dyDescent="0.15">
      <c r="B81" s="33"/>
      <c r="C81" s="89"/>
      <c r="D81" s="38"/>
      <c r="E81" s="706" t="str">
        <f t="array" ref="E81">IF(COUNTIF(E$11:E$73,E$79)&lt;ROW($A2),"",INDEX($C$11:$C$73,SMALL(IF(E$11:E$73=E$79,ROW($C$1:$C$63)),ROW($A2))))</f>
        <v/>
      </c>
      <c r="F81" s="91" t="str">
        <f t="array" ref="F81">IF(COUNTIF(F$11:F$73,F$79)&lt;ROW($A2),"",INDEX($C$11:$C$73,SMALL(IF(F$11:F$73=F$79,ROW($C$1:$C$63)),ROW($A2))))</f>
        <v/>
      </c>
      <c r="G81" s="91" t="str">
        <f t="array" ref="G81">IF(COUNTIF(G$11:G$73,G$79)&lt;ROW($A2),"",INDEX($C$11:$C$73,SMALL(IF(G$11:G$73=G$79,ROW($C$1:$C$63)),ROW($A2))))</f>
        <v>南村</v>
      </c>
      <c r="H81" s="91" t="str">
        <f t="array" ref="H81">IF(COUNTIF(H$11:H$73,H$79)&lt;ROW($A2),"",INDEX($C$11:$C$73,SMALL(IF(H$11:H$73=H$79,ROW($C$1:$C$63)),ROW($A2))))</f>
        <v/>
      </c>
      <c r="I81" s="91" t="str">
        <f t="array" ref="I81">IF(COUNTIF(I$11:I$73,I$79)&lt;ROW($A2),"",INDEX($C$11:$C$73,SMALL(IF(I$11:I$73=I$79,ROW($C$1:$C$63)),ROW($A2))))</f>
        <v/>
      </c>
      <c r="J81" s="91" t="str">
        <f t="array" ref="J81">IF(COUNTIF(J$11:J$73,J$79)&lt;ROW($A2),"",INDEX($C$11:$C$73,SMALL(IF(J$11:J$73=J$79,ROW($C$1:$C$63)),ROW($A2))))</f>
        <v/>
      </c>
      <c r="K81" s="91" t="str">
        <f t="array" ref="K81">IF(COUNTIF(K$11:K$73,K$79)&lt;ROW($A2),"",INDEX($C$11:$C$73,SMALL(IF(K$11:K$73=K$79,ROW($C$1:$C$63)),ROW($A2))))</f>
        <v/>
      </c>
      <c r="L81" s="91" t="str">
        <f t="array" ref="L81">IF(COUNTIF(L$11:L$73,L$79)&lt;ROW($A2),"",INDEX($C$11:$C$73,SMALL(IF(L$11:L$73=L$79,ROW($C$1:$C$63)),ROW($A2))))</f>
        <v/>
      </c>
      <c r="M81" s="91" t="str">
        <f t="array" ref="M81">IF(COUNTIF(M$11:M$73,M$79)&lt;ROW($A2),"",INDEX($C$11:$C$73,SMALL(IF(M$11:M$73=M$79,ROW($C$1:$C$63)),ROW($A2))))</f>
        <v/>
      </c>
      <c r="N81" s="91" t="str">
        <f t="array" ref="N81">IF(COUNTIF(N$11:N$73,N$79)&lt;ROW($A2),"",INDEX($C$11:$C$73,SMALL(IF(N$11:N$73=N$79,ROW($C$1:$C$63)),ROW($A2))))</f>
        <v/>
      </c>
      <c r="O81" s="91" t="str">
        <f t="array" ref="O81">IF(COUNTIF(O$11:O$73,O$79)&lt;ROW($A2),"",INDEX($C$11:$C$73,SMALL(IF(O$11:O$73=O$79,ROW($C$1:$C$63)),ROW($A2))))</f>
        <v/>
      </c>
      <c r="P81" s="91" t="str">
        <f t="array" ref="P81">IF(COUNTIF(P$11:P$73,P$79)&lt;ROW($A2),"",INDEX($C$11:$C$73,SMALL(IF(P$11:P$73=P$79,ROW($C$1:$C$63)),ROW($A2))))</f>
        <v/>
      </c>
      <c r="Q81" s="91" t="str">
        <f t="array" ref="Q81">IF(COUNTIF(Q$11:Q$73,Q$79)&lt;ROW($A2),"",INDEX($C$11:$C$73,SMALL(IF(Q$11:Q$73=Q$79,ROW($C$1:$C$63)),ROW($A2))))</f>
        <v/>
      </c>
      <c r="R81" s="91" t="str">
        <f t="array" ref="R81">IF(COUNTIF(R$11:R$73,R$79)&lt;ROW($A2),"",INDEX($C$11:$C$73,SMALL(IF(R$11:R$73=R$79,ROW($C$1:$C$63)),ROW($A2))))</f>
        <v/>
      </c>
      <c r="S81" s="91" t="str">
        <f t="array" ref="S81">IF(COUNTIF(S$11:S$73,S$79)&lt;ROW($A2),"",INDEX($C$11:$C$73,SMALL(IF(S$11:S$73=S$79,ROW($C$1:$C$63)),ROW($A2))))</f>
        <v/>
      </c>
      <c r="T81" s="91" t="str">
        <f t="array" ref="T81">IF(COUNTIF(T$11:T$73,T$79)&lt;ROW($A2),"",INDEX($C$11:$C$73,SMALL(IF(T$11:T$73=T$79,ROW($C$1:$C$63)),ROW($A2))))</f>
        <v/>
      </c>
      <c r="U81" s="91" t="str">
        <f t="array" ref="U81">IF(COUNTIF(U$11:U$73,U$79)&lt;ROW($A2),"",INDEX($C$11:$C$73,SMALL(IF(U$11:U$73=U$79,ROW($C$1:$C$63)),ROW($A2))))</f>
        <v>近藤裕</v>
      </c>
      <c r="V81" s="91" t="str">
        <f t="array" ref="V81">IF(COUNTIF(V$11:V$73,V$79)&lt;ROW($A2),"",INDEX($C$11:$C$73,SMALL(IF(V$11:V$73=V$79,ROW($C$1:$C$63)),ROW($A2))))</f>
        <v/>
      </c>
      <c r="W81" s="707" t="str">
        <f t="array" ref="W81">IF(COUNTIF(W$11:W$73,W$79)&lt;ROW($A2),"",INDEX($C$11:$C$73,SMALL(IF(W$11:W$73=W$79,ROW($C$1:$C$63)),ROW($A2))))</f>
        <v/>
      </c>
      <c r="X81" s="72"/>
      <c r="Y81" s="58"/>
      <c r="Z81" s="73"/>
      <c r="AA81" s="40"/>
      <c r="AB81" s="41"/>
      <c r="AC81" s="41"/>
    </row>
    <row r="82" spans="1:31" ht="14.25" thickBot="1" x14ac:dyDescent="0.2">
      <c r="B82" s="329"/>
      <c r="C82" s="330"/>
      <c r="D82" s="47"/>
      <c r="E82" s="708" t="str">
        <f t="array" ref="E82">IF(COUNTIF(E$11:E$73,E$79)&lt;ROW($A3),"",INDEX($C$11:$C$73,SMALL(IF(E$11:E$73=E$79,ROW($C$1:$C$63)),ROW($A3))))</f>
        <v/>
      </c>
      <c r="F82" s="333" t="str">
        <f t="array" ref="F82">IF(COUNTIF(F$11:F$73,F$79)&lt;ROW($A3),"",INDEX($C$11:$C$73,SMALL(IF(F$11:F$73=F$79,ROW($C$1:$C$63)),ROW($A3))))</f>
        <v/>
      </c>
      <c r="G82" s="333" t="str">
        <f t="array" ref="G82">IF(COUNTIF(G$11:G$73,G$79)&lt;ROW($A3),"",INDEX($C$11:$C$73,SMALL(IF(G$11:G$73=G$79,ROW($C$1:$C$63)),ROW($A3))))</f>
        <v/>
      </c>
      <c r="H82" s="333" t="str">
        <f t="array" ref="H82">IF(COUNTIF(H$11:H$73,H$79)&lt;ROW($A3),"",INDEX($C$11:$C$73,SMALL(IF(H$11:H$73=H$79,ROW($C$1:$C$63)),ROW($A3))))</f>
        <v/>
      </c>
      <c r="I82" s="333" t="str">
        <f t="array" ref="I82">IF(COUNTIF(I$11:I$73,I$79)&lt;ROW($A3),"",INDEX($C$11:$C$73,SMALL(IF(I$11:I$73=I$79,ROW($C$1:$C$63)),ROW($A3))))</f>
        <v/>
      </c>
      <c r="J82" s="333" t="str">
        <f t="array" ref="J82">IF(COUNTIF(J$11:J$73,J$79)&lt;ROW($A3),"",INDEX($C$11:$C$73,SMALL(IF(J$11:J$73=J$79,ROW($C$1:$C$63)),ROW($A3))))</f>
        <v/>
      </c>
      <c r="K82" s="333" t="str">
        <f t="array" ref="K82">IF(COUNTIF(K$11:K$73,K$79)&lt;ROW($A3),"",INDEX($C$11:$C$73,SMALL(IF(K$11:K$73=K$79,ROW($C$1:$C$63)),ROW($A3))))</f>
        <v/>
      </c>
      <c r="L82" s="333" t="str">
        <f t="array" ref="L82">IF(COUNTIF(L$11:L$73,L$79)&lt;ROW($A3),"",INDEX($C$11:$C$73,SMALL(IF(L$11:L$73=L$79,ROW($C$1:$C$63)),ROW($A3))))</f>
        <v/>
      </c>
      <c r="M82" s="333" t="str">
        <f t="array" ref="M82">IF(COUNTIF(M$11:M$73,M$79)&lt;ROW($A3),"",INDEX($C$11:$C$73,SMALL(IF(M$11:M$73=M$79,ROW($C$1:$C$63)),ROW($A3))))</f>
        <v/>
      </c>
      <c r="N82" s="333" t="str">
        <f t="array" ref="N82">IF(COUNTIF(N$11:N$73,N$79)&lt;ROW($A3),"",INDEX($C$11:$C$73,SMALL(IF(N$11:N$73=N$79,ROW($C$1:$C$63)),ROW($A3))))</f>
        <v/>
      </c>
      <c r="O82" s="333" t="str">
        <f t="array" ref="O82">IF(COUNTIF(O$11:O$73,O$79)&lt;ROW($A3),"",INDEX($C$11:$C$73,SMALL(IF(O$11:O$73=O$79,ROW($C$1:$C$63)),ROW($A3))))</f>
        <v/>
      </c>
      <c r="P82" s="333" t="str">
        <f t="array" ref="P82">IF(COUNTIF(P$11:P$73,P$79)&lt;ROW($A3),"",INDEX($C$11:$C$73,SMALL(IF(P$11:P$73=P$79,ROW($C$1:$C$63)),ROW($A3))))</f>
        <v/>
      </c>
      <c r="Q82" s="333" t="str">
        <f t="array" ref="Q82">IF(COUNTIF(Q$11:Q$73,Q$79)&lt;ROW($A3),"",INDEX($C$11:$C$73,SMALL(IF(Q$11:Q$73=Q$79,ROW($C$1:$C$63)),ROW($A3))))</f>
        <v/>
      </c>
      <c r="R82" s="333" t="str">
        <f t="array" ref="R82">IF(COUNTIF(R$11:R$73,R$79)&lt;ROW($A3),"",INDEX($C$11:$C$73,SMALL(IF(R$11:R$73=R$79,ROW($C$1:$C$63)),ROW($A3))))</f>
        <v/>
      </c>
      <c r="S82" s="333" t="str">
        <f t="array" ref="S82">IF(COUNTIF(S$11:S$73,S$79)&lt;ROW($A3),"",INDEX($C$11:$C$73,SMALL(IF(S$11:S$73=S$79,ROW($C$1:$C$63)),ROW($A3))))</f>
        <v/>
      </c>
      <c r="T82" s="333" t="str">
        <f t="array" ref="T82">IF(COUNTIF(T$11:T$73,T$79)&lt;ROW($A3),"",INDEX($C$11:$C$73,SMALL(IF(T$11:T$73=T$79,ROW($C$1:$C$63)),ROW($A3))))</f>
        <v/>
      </c>
      <c r="U82" s="333" t="str">
        <f t="array" ref="U82">IF(COUNTIF(U$11:U$73,U$79)&lt;ROW($A3),"",INDEX($C$11:$C$73,SMALL(IF(U$11:U$73=U$79,ROW($C$1:$C$63)),ROW($A3))))</f>
        <v>坪原</v>
      </c>
      <c r="V82" s="333" t="str">
        <f t="array" ref="V82">IF(COUNTIF(V$11:V$73,V$79)&lt;ROW($A3),"",INDEX($C$11:$C$73,SMALL(IF(V$11:V$73=V$79,ROW($C$1:$C$63)),ROW($A3))))</f>
        <v/>
      </c>
      <c r="W82" s="709" t="str">
        <f t="array" ref="W82">IF(COUNTIF(W$11:W$73,W$79)&lt;ROW($A3),"",INDEX($C$11:$C$73,SMALL(IF(W$11:W$73=W$79,ROW($C$1:$C$63)),ROW($A3))))</f>
        <v/>
      </c>
      <c r="X82" s="60"/>
      <c r="Y82" s="61"/>
      <c r="Z82" s="334"/>
      <c r="AA82" s="40"/>
      <c r="AB82" s="41"/>
      <c r="AC82" s="41"/>
    </row>
    <row r="83" spans="1:31" x14ac:dyDescent="0.15">
      <c r="B83" s="92" t="s">
        <v>21</v>
      </c>
      <c r="C83" s="34" t="s">
        <v>22</v>
      </c>
      <c r="D83" s="93"/>
      <c r="E83" s="710">
        <f>IF(E$80="","",(COUNTIF(E$11:E$73,"&gt;=70")-COUNTIF(E$11:E$73,"&gt;=80")))</f>
        <v>0</v>
      </c>
      <c r="F83" s="56">
        <f t="shared" ref="F83:W83" si="10">IF(F$80="","",(COUNTIF(F$11:F$73,"&gt;=70")-COUNTIF(F$11:F$73,"&gt;=80")))</f>
        <v>0</v>
      </c>
      <c r="G83" s="56">
        <f t="shared" si="10"/>
        <v>0</v>
      </c>
      <c r="H83" s="56" t="str">
        <f t="shared" si="10"/>
        <v/>
      </c>
      <c r="I83" s="56">
        <f t="shared" si="10"/>
        <v>0</v>
      </c>
      <c r="J83" s="56">
        <f t="shared" si="10"/>
        <v>0</v>
      </c>
      <c r="K83" s="56">
        <f t="shared" si="10"/>
        <v>1</v>
      </c>
      <c r="L83" s="56">
        <f t="shared" si="10"/>
        <v>0</v>
      </c>
      <c r="M83" s="56">
        <f t="shared" si="10"/>
        <v>1</v>
      </c>
      <c r="N83" s="56">
        <f t="shared" si="10"/>
        <v>2</v>
      </c>
      <c r="O83" s="56" t="str">
        <f t="shared" si="10"/>
        <v/>
      </c>
      <c r="P83" s="56">
        <f t="shared" si="10"/>
        <v>1</v>
      </c>
      <c r="Q83" s="56" t="str">
        <f t="shared" si="10"/>
        <v/>
      </c>
      <c r="R83" s="56">
        <f t="shared" si="10"/>
        <v>0</v>
      </c>
      <c r="S83" s="56">
        <f t="shared" si="10"/>
        <v>0</v>
      </c>
      <c r="T83" s="56">
        <f t="shared" si="10"/>
        <v>0</v>
      </c>
      <c r="U83" s="56">
        <f t="shared" si="10"/>
        <v>0</v>
      </c>
      <c r="V83" s="56">
        <f t="shared" si="10"/>
        <v>0</v>
      </c>
      <c r="W83" s="57" t="str">
        <f t="shared" si="10"/>
        <v/>
      </c>
      <c r="X83" s="74"/>
      <c r="Y83" s="75"/>
      <c r="Z83" s="76"/>
      <c r="AA83" s="40"/>
      <c r="AB83" s="41"/>
      <c r="AC83" s="41"/>
    </row>
    <row r="84" spans="1:31" x14ac:dyDescent="0.15">
      <c r="B84" s="92" t="s">
        <v>23</v>
      </c>
      <c r="C84" s="32" t="s">
        <v>24</v>
      </c>
      <c r="D84" s="88"/>
      <c r="E84" s="702">
        <f>IF(E$80="","",COUNTIF(E$11:E$73,"&gt;=80")-COUNTIF(E$11:E$73,"&gt;=90"))</f>
        <v>8</v>
      </c>
      <c r="F84" s="657">
        <f t="shared" ref="F84:W84" si="11">IF(F$80="","",COUNTIF(F$11:F$73,"&gt;=80")-COUNTIF(F$11:F$73,"&gt;=90"))</f>
        <v>4</v>
      </c>
      <c r="G84" s="657">
        <f t="shared" si="11"/>
        <v>11</v>
      </c>
      <c r="H84" s="657" t="str">
        <f t="shared" si="11"/>
        <v/>
      </c>
      <c r="I84" s="657">
        <f t="shared" si="11"/>
        <v>7</v>
      </c>
      <c r="J84" s="657">
        <f t="shared" si="11"/>
        <v>7</v>
      </c>
      <c r="K84" s="657">
        <f t="shared" si="11"/>
        <v>5</v>
      </c>
      <c r="L84" s="657">
        <f t="shared" si="11"/>
        <v>4</v>
      </c>
      <c r="M84" s="657">
        <f t="shared" si="11"/>
        <v>11</v>
      </c>
      <c r="N84" s="657">
        <f t="shared" si="11"/>
        <v>5</v>
      </c>
      <c r="O84" s="657" t="str">
        <f t="shared" si="11"/>
        <v/>
      </c>
      <c r="P84" s="657">
        <f t="shared" si="11"/>
        <v>8</v>
      </c>
      <c r="Q84" s="657" t="str">
        <f t="shared" si="11"/>
        <v/>
      </c>
      <c r="R84" s="657">
        <f t="shared" si="11"/>
        <v>4</v>
      </c>
      <c r="S84" s="657">
        <f t="shared" si="11"/>
        <v>6</v>
      </c>
      <c r="T84" s="657">
        <f t="shared" si="11"/>
        <v>3</v>
      </c>
      <c r="U84" s="657">
        <f t="shared" si="11"/>
        <v>7</v>
      </c>
      <c r="V84" s="657">
        <f t="shared" si="11"/>
        <v>6</v>
      </c>
      <c r="W84" s="703" t="str">
        <f t="shared" si="11"/>
        <v/>
      </c>
      <c r="X84" s="77"/>
      <c r="Y84" s="78"/>
      <c r="Z84" s="79"/>
      <c r="AA84" s="40"/>
      <c r="AB84" s="41"/>
      <c r="AC84" s="41"/>
    </row>
    <row r="85" spans="1:31" x14ac:dyDescent="0.15">
      <c r="B85" s="92" t="s">
        <v>25</v>
      </c>
      <c r="C85" s="32" t="s">
        <v>26</v>
      </c>
      <c r="D85" s="88"/>
      <c r="E85" s="702">
        <f>IF(E$80="","",COUNTIF(E$11:E$73,"&gt;=90")-COUNTIF(E$11:E$73,"&gt;=100"))</f>
        <v>14</v>
      </c>
      <c r="F85" s="657">
        <f t="shared" ref="F85:W85" si="12">IF(F$80="","",COUNTIF(F$11:F$73,"&gt;=90")-COUNTIF(F$11:F$73,"&gt;=100"))</f>
        <v>9</v>
      </c>
      <c r="G85" s="657">
        <f t="shared" si="12"/>
        <v>11</v>
      </c>
      <c r="H85" s="657" t="str">
        <f t="shared" si="12"/>
        <v/>
      </c>
      <c r="I85" s="657">
        <f t="shared" si="12"/>
        <v>11</v>
      </c>
      <c r="J85" s="657">
        <f t="shared" si="12"/>
        <v>5</v>
      </c>
      <c r="K85" s="657">
        <f t="shared" si="12"/>
        <v>16</v>
      </c>
      <c r="L85" s="657">
        <f t="shared" si="12"/>
        <v>13</v>
      </c>
      <c r="M85" s="657">
        <f t="shared" si="12"/>
        <v>5</v>
      </c>
      <c r="N85" s="657">
        <f t="shared" si="12"/>
        <v>8</v>
      </c>
      <c r="O85" s="657" t="str">
        <f t="shared" si="12"/>
        <v/>
      </c>
      <c r="P85" s="657">
        <f t="shared" si="12"/>
        <v>13</v>
      </c>
      <c r="Q85" s="657" t="str">
        <f t="shared" si="12"/>
        <v/>
      </c>
      <c r="R85" s="657">
        <f t="shared" si="12"/>
        <v>19</v>
      </c>
      <c r="S85" s="657">
        <f t="shared" si="12"/>
        <v>12</v>
      </c>
      <c r="T85" s="657">
        <f t="shared" si="12"/>
        <v>14</v>
      </c>
      <c r="U85" s="657">
        <f t="shared" si="12"/>
        <v>12</v>
      </c>
      <c r="V85" s="657">
        <f t="shared" si="12"/>
        <v>11</v>
      </c>
      <c r="W85" s="703" t="str">
        <f t="shared" si="12"/>
        <v/>
      </c>
      <c r="X85" s="77"/>
      <c r="Y85" s="78"/>
      <c r="Z85" s="79"/>
      <c r="AA85" s="40"/>
      <c r="AB85" s="41"/>
      <c r="AC85" s="41"/>
    </row>
    <row r="86" spans="1:31" x14ac:dyDescent="0.15">
      <c r="B86" s="92" t="s">
        <v>27</v>
      </c>
      <c r="C86" s="32" t="s">
        <v>28</v>
      </c>
      <c r="D86" s="88"/>
      <c r="E86" s="702">
        <f>IF(E$80="","",COUNTIF(E$11:E$73,"&gt;=100"))</f>
        <v>12</v>
      </c>
      <c r="F86" s="657">
        <f t="shared" ref="F86:W86" si="13">IF(F$80="","",COUNTIF(F$11:F$73,"&gt;=100"))</f>
        <v>6</v>
      </c>
      <c r="G86" s="657">
        <f t="shared" si="13"/>
        <v>6</v>
      </c>
      <c r="H86" s="657" t="str">
        <f t="shared" si="13"/>
        <v/>
      </c>
      <c r="I86" s="657">
        <f t="shared" si="13"/>
        <v>11</v>
      </c>
      <c r="J86" s="657">
        <f t="shared" si="13"/>
        <v>2</v>
      </c>
      <c r="K86" s="657">
        <f t="shared" si="13"/>
        <v>12</v>
      </c>
      <c r="L86" s="657">
        <f t="shared" si="13"/>
        <v>2</v>
      </c>
      <c r="M86" s="657">
        <f t="shared" si="13"/>
        <v>4</v>
      </c>
      <c r="N86" s="657">
        <f t="shared" si="13"/>
        <v>4</v>
      </c>
      <c r="O86" s="657" t="str">
        <f t="shared" si="13"/>
        <v/>
      </c>
      <c r="P86" s="657">
        <f t="shared" si="13"/>
        <v>6</v>
      </c>
      <c r="Q86" s="657" t="str">
        <f t="shared" si="13"/>
        <v/>
      </c>
      <c r="R86" s="657">
        <f t="shared" si="13"/>
        <v>7</v>
      </c>
      <c r="S86" s="657">
        <f t="shared" si="13"/>
        <v>12</v>
      </c>
      <c r="T86" s="657">
        <f t="shared" si="13"/>
        <v>10</v>
      </c>
      <c r="U86" s="657">
        <f t="shared" si="13"/>
        <v>7</v>
      </c>
      <c r="V86" s="657">
        <f t="shared" si="13"/>
        <v>12</v>
      </c>
      <c r="W86" s="703" t="str">
        <f t="shared" si="13"/>
        <v/>
      </c>
      <c r="X86" s="77"/>
      <c r="Y86" s="78"/>
      <c r="Z86" s="79"/>
      <c r="AA86" s="40"/>
      <c r="AB86" s="41"/>
      <c r="AC86" s="41"/>
    </row>
    <row r="87" spans="1:31" ht="14.25" thickBot="1" x14ac:dyDescent="0.2">
      <c r="B87" s="51" t="s">
        <v>29</v>
      </c>
      <c r="C87" s="35" t="s">
        <v>30</v>
      </c>
      <c r="D87" s="94"/>
      <c r="E87" s="711">
        <f>SUM(E83:E86)</f>
        <v>34</v>
      </c>
      <c r="F87" s="59">
        <f t="shared" ref="F87:W87" si="14">SUM(F83:F86)</f>
        <v>19</v>
      </c>
      <c r="G87" s="59">
        <f t="shared" si="14"/>
        <v>28</v>
      </c>
      <c r="H87" s="59">
        <f t="shared" si="14"/>
        <v>0</v>
      </c>
      <c r="I87" s="59">
        <f t="shared" si="14"/>
        <v>29</v>
      </c>
      <c r="J87" s="59">
        <f t="shared" si="14"/>
        <v>14</v>
      </c>
      <c r="K87" s="59">
        <f t="shared" si="14"/>
        <v>34</v>
      </c>
      <c r="L87" s="59">
        <f t="shared" si="14"/>
        <v>19</v>
      </c>
      <c r="M87" s="59">
        <f t="shared" si="14"/>
        <v>21</v>
      </c>
      <c r="N87" s="59">
        <f t="shared" si="14"/>
        <v>19</v>
      </c>
      <c r="O87" s="59">
        <f t="shared" si="14"/>
        <v>0</v>
      </c>
      <c r="P87" s="59">
        <f t="shared" si="14"/>
        <v>28</v>
      </c>
      <c r="Q87" s="59">
        <f t="shared" si="14"/>
        <v>0</v>
      </c>
      <c r="R87" s="59">
        <f t="shared" si="14"/>
        <v>30</v>
      </c>
      <c r="S87" s="59">
        <f t="shared" si="14"/>
        <v>30</v>
      </c>
      <c r="T87" s="59">
        <f t="shared" si="14"/>
        <v>27</v>
      </c>
      <c r="U87" s="59">
        <f t="shared" si="14"/>
        <v>26</v>
      </c>
      <c r="V87" s="59">
        <f t="shared" si="14"/>
        <v>29</v>
      </c>
      <c r="W87" s="712">
        <f t="shared" si="14"/>
        <v>0</v>
      </c>
      <c r="X87" s="80"/>
      <c r="Y87" s="81"/>
      <c r="Z87" s="82"/>
      <c r="AA87" s="40"/>
      <c r="AB87" s="41"/>
      <c r="AC87" s="41"/>
    </row>
    <row r="89" spans="1:31" customFormat="1" x14ac:dyDescent="0.15">
      <c r="A89" s="13"/>
      <c r="E89" s="14"/>
      <c r="F89" s="14"/>
      <c r="N89" s="13"/>
      <c r="U89" s="13"/>
      <c r="V89" s="13"/>
      <c r="W89" s="13"/>
      <c r="AA89" s="13"/>
      <c r="AD89" s="15"/>
      <c r="AE89" s="15"/>
    </row>
    <row r="90" spans="1:31" customFormat="1" x14ac:dyDescent="0.15">
      <c r="A90" s="13"/>
      <c r="E90" s="14"/>
      <c r="F90" s="14"/>
      <c r="N90" s="13"/>
      <c r="U90" s="13"/>
      <c r="V90" s="13"/>
      <c r="W90" s="13"/>
      <c r="AA90" s="13"/>
      <c r="AD90" s="15"/>
      <c r="AE90" s="15"/>
    </row>
    <row r="91" spans="1:31" customFormat="1" x14ac:dyDescent="0.15">
      <c r="A91" s="13"/>
      <c r="E91" s="14"/>
      <c r="F91" s="14"/>
      <c r="N91" s="13"/>
      <c r="U91" s="13"/>
      <c r="V91" s="13"/>
      <c r="W91" s="13"/>
      <c r="AA91" s="13"/>
      <c r="AD91" s="15"/>
      <c r="AE91" s="15"/>
    </row>
    <row r="92" spans="1:31" customFormat="1" x14ac:dyDescent="0.15">
      <c r="A92" s="13"/>
      <c r="N92" s="13"/>
      <c r="U92" s="13"/>
      <c r="V92" s="13"/>
      <c r="W92" s="13"/>
      <c r="AA92" s="13"/>
      <c r="AD92" s="15"/>
      <c r="AE92" s="15"/>
    </row>
    <row r="93" spans="1:31" customFormat="1" ht="14.25" x14ac:dyDescent="0.15">
      <c r="A93" s="13"/>
      <c r="B93" s="16"/>
      <c r="N93" s="13"/>
      <c r="U93" s="13"/>
      <c r="V93" s="13"/>
      <c r="W93" s="13"/>
      <c r="AA93" s="13"/>
      <c r="AD93" s="15"/>
      <c r="AE93" s="15"/>
    </row>
    <row r="94" spans="1:31" customFormat="1" x14ac:dyDescent="0.15">
      <c r="A94" s="13"/>
      <c r="E94" s="17"/>
      <c r="F94" s="17"/>
      <c r="N94" s="13"/>
      <c r="U94" s="13"/>
      <c r="V94" s="13"/>
      <c r="W94" s="13"/>
      <c r="AA94" s="13"/>
      <c r="AD94" s="15"/>
      <c r="AE94" s="15"/>
    </row>
    <row r="95" spans="1:31" customFormat="1" x14ac:dyDescent="0.15">
      <c r="A95" s="13"/>
      <c r="E95" s="17"/>
      <c r="F95" s="17"/>
      <c r="N95" s="13"/>
      <c r="U95" s="13"/>
      <c r="V95" s="13"/>
      <c r="W95" s="13"/>
      <c r="AA95" s="13"/>
      <c r="AD95" s="15"/>
      <c r="AE95" s="15"/>
    </row>
    <row r="96" spans="1:31" customFormat="1" x14ac:dyDescent="0.15">
      <c r="A96" s="13"/>
      <c r="N96" s="13"/>
      <c r="U96" s="13"/>
      <c r="V96" s="13"/>
      <c r="W96" s="13"/>
      <c r="AA96" s="13"/>
      <c r="AD96" s="15"/>
      <c r="AE96" s="15"/>
    </row>
    <row r="97" spans="1:31" customFormat="1" x14ac:dyDescent="0.15">
      <c r="A97" s="13"/>
      <c r="N97" s="13"/>
      <c r="U97" s="13"/>
      <c r="V97" s="13"/>
      <c r="W97" s="13"/>
      <c r="AA97" s="13"/>
      <c r="AD97" s="15"/>
      <c r="AE97" s="15"/>
    </row>
    <row r="98" spans="1:31" customFormat="1" x14ac:dyDescent="0.15">
      <c r="A98" s="13"/>
      <c r="N98" s="13"/>
      <c r="U98" s="13"/>
      <c r="V98" s="13"/>
      <c r="W98" s="13"/>
      <c r="AA98" s="13"/>
      <c r="AD98" s="15"/>
      <c r="AE98" s="15"/>
    </row>
    <row r="99" spans="1:31" customFormat="1" x14ac:dyDescent="0.15">
      <c r="A99" s="13"/>
      <c r="N99" s="13"/>
      <c r="U99" s="13"/>
      <c r="V99" s="13"/>
      <c r="W99" s="13"/>
      <c r="AA99" s="13"/>
      <c r="AD99" s="15"/>
      <c r="AE99" s="15"/>
    </row>
  </sheetData>
  <sheetProtection password="EBCD" sheet="1" objects="1" scenarios="1" selectLockedCells="1"/>
  <mergeCells count="7">
    <mergeCell ref="Y2:AA2"/>
    <mergeCell ref="B5:B10"/>
    <mergeCell ref="A5:A10"/>
    <mergeCell ref="X4:AA4"/>
    <mergeCell ref="X6:AA6"/>
    <mergeCell ref="Z9:AA9"/>
    <mergeCell ref="X5:AA5"/>
  </mergeCells>
  <phoneticPr fontId="1"/>
  <conditionalFormatting sqref="E5:W75">
    <cfRule type="expression" dxfId="0" priority="1">
      <formula>E$7=$Y$7</formula>
    </cfRule>
  </conditionalFormatting>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X76"/>
  <sheetViews>
    <sheetView workbookViewId="0">
      <selection activeCell="B1" sqref="B1:O1048576"/>
    </sheetView>
  </sheetViews>
  <sheetFormatPr defaultColWidth="9" defaultRowHeight="13.5" x14ac:dyDescent="0.15"/>
  <cols>
    <col min="1" max="1" width="9" style="23"/>
    <col min="2" max="2" width="9" style="23" hidden="1" customWidth="1"/>
    <col min="3" max="3" width="12.625" style="23" hidden="1" customWidth="1"/>
    <col min="4" max="5" width="14.5" style="23" hidden="1" customWidth="1"/>
    <col min="6" max="6" width="7.375" style="23" hidden="1" customWidth="1"/>
    <col min="7" max="7" width="9" style="106" hidden="1" customWidth="1"/>
    <col min="8" max="14" width="9" style="23" hidden="1" customWidth="1"/>
    <col min="15" max="15" width="2.25" style="23" hidden="1" customWidth="1"/>
    <col min="16" max="18" width="9" style="23"/>
    <col min="19" max="19" width="9" style="106"/>
    <col min="20" max="16384" width="9" style="23"/>
  </cols>
  <sheetData>
    <row r="1" spans="1:24" x14ac:dyDescent="0.15">
      <c r="A1" s="300"/>
      <c r="P1" s="300"/>
    </row>
    <row r="2" spans="1:24" x14ac:dyDescent="0.15">
      <c r="B2" s="114"/>
      <c r="C2" s="114"/>
      <c r="D2" s="114"/>
      <c r="E2" s="114"/>
      <c r="F2" s="114"/>
      <c r="G2" s="119"/>
      <c r="H2" s="144" t="s">
        <v>36</v>
      </c>
      <c r="I2" s="114"/>
      <c r="J2" s="114"/>
      <c r="K2" s="114"/>
      <c r="L2" s="144" t="s">
        <v>38</v>
      </c>
      <c r="M2" s="114"/>
      <c r="N2" s="114"/>
    </row>
    <row r="3" spans="1:24" ht="14.25" thickBot="1" x14ac:dyDescent="0.2">
      <c r="B3" s="114" t="s">
        <v>37</v>
      </c>
      <c r="C3" s="114"/>
      <c r="D3" s="114"/>
      <c r="E3" s="114"/>
      <c r="F3" s="114"/>
      <c r="G3" s="119"/>
      <c r="H3" s="160" t="s">
        <v>87</v>
      </c>
      <c r="I3" s="114"/>
      <c r="J3" s="114"/>
      <c r="K3" s="114"/>
      <c r="L3" s="160" t="s">
        <v>88</v>
      </c>
      <c r="M3" s="114"/>
      <c r="N3" s="114"/>
    </row>
    <row r="4" spans="1:24" x14ac:dyDescent="0.15">
      <c r="B4" s="115" t="s">
        <v>33</v>
      </c>
      <c r="C4" s="115" t="s">
        <v>32</v>
      </c>
      <c r="D4" s="120" t="s">
        <v>39</v>
      </c>
      <c r="E4" s="326" t="s">
        <v>68</v>
      </c>
      <c r="F4" s="327" t="s">
        <v>69</v>
      </c>
      <c r="G4" s="119"/>
      <c r="H4" s="120" t="s">
        <v>40</v>
      </c>
      <c r="I4" s="120" t="s">
        <v>41</v>
      </c>
      <c r="J4" s="114"/>
      <c r="K4" s="114"/>
      <c r="L4" s="121" t="s">
        <v>0</v>
      </c>
      <c r="M4" s="122" t="s">
        <v>1</v>
      </c>
      <c r="N4" s="123" t="s">
        <v>2</v>
      </c>
      <c r="Q4" s="95"/>
      <c r="V4" s="95"/>
    </row>
    <row r="5" spans="1:24" x14ac:dyDescent="0.15">
      <c r="A5" s="126">
        <v>0</v>
      </c>
      <c r="B5" s="118" t="s">
        <v>288</v>
      </c>
      <c r="C5" s="118"/>
      <c r="D5" s="118"/>
      <c r="E5" s="118"/>
      <c r="F5" s="118">
        <v>1</v>
      </c>
      <c r="G5" s="119"/>
      <c r="H5" s="118">
        <f>シート②組合せ表!E31</f>
        <v>0</v>
      </c>
      <c r="I5" s="125" t="str">
        <f>IF(シート④スコア記入依頼用紙!O51="","",シート④スコア記入依頼用紙!O51)</f>
        <v/>
      </c>
      <c r="J5" s="114"/>
      <c r="K5" s="114"/>
      <c r="L5" s="126">
        <v>1</v>
      </c>
      <c r="M5" s="116" t="str">
        <f t="shared" ref="M5:M36" si="0">B6</f>
        <v>安藤</v>
      </c>
      <c r="N5" s="127" t="str">
        <f>IF(IFERROR(VLOOKUP(M5,集計!$H$5:$I$44,2,FALSE),"")=0,"",IFERROR(VLOOKUP(M5,集計!$H$5:$I$44,2,FALSE),""))</f>
        <v/>
      </c>
      <c r="P5" s="130"/>
      <c r="Q5" s="15"/>
      <c r="R5" s="96"/>
      <c r="S5" s="131"/>
      <c r="U5" s="95"/>
      <c r="V5" s="96"/>
      <c r="W5" s="96"/>
      <c r="X5" s="96"/>
    </row>
    <row r="6" spans="1:24" x14ac:dyDescent="0.15">
      <c r="A6" s="126">
        <v>1</v>
      </c>
      <c r="B6" s="409" t="str">
        <f>IF(名簿ﾘｽﾄ!D5="","",名簿ﾘｽﾄ!D5)</f>
        <v>安藤</v>
      </c>
      <c r="C6" s="409" t="str">
        <f>IF(名簿ﾘｽﾄ!E5="","",名簿ﾘｽﾄ!E5)</f>
        <v>安藤　明夫</v>
      </c>
      <c r="D6" s="409" t="str">
        <f>IF(名簿ﾘｽﾄ!F5="","",名簿ﾘｽﾄ!F5)</f>
        <v>アンドウ　アキオ</v>
      </c>
      <c r="E6" s="409">
        <f>IF(名簿ﾘｽﾄ!G5="","",名簿ﾘｽﾄ!G5)</f>
        <v>19214</v>
      </c>
      <c r="F6" s="117">
        <f>名簿ﾘｽﾄ!H5</f>
        <v>26219</v>
      </c>
      <c r="G6" s="119"/>
      <c r="H6" s="118">
        <f>シート②組合せ表!F31</f>
        <v>0</v>
      </c>
      <c r="I6" s="125" t="str">
        <f>IF(シート④スコア記入依頼用紙!O52="","",シート④スコア記入依頼用紙!O52)</f>
        <v/>
      </c>
      <c r="J6" s="114"/>
      <c r="K6" s="114"/>
      <c r="L6" s="126">
        <v>2</v>
      </c>
      <c r="M6" s="116" t="str">
        <f t="shared" si="0"/>
        <v>飯田</v>
      </c>
      <c r="N6" s="127" t="str">
        <f>IF(IFERROR(VLOOKUP(M6,集計!$H$5:$I$44,2,FALSE),"")=0,"",IFERROR(VLOOKUP(M6,集計!$H$5:$I$44,2,FALSE),""))</f>
        <v/>
      </c>
      <c r="P6" s="130"/>
      <c r="Q6" s="15"/>
      <c r="S6" s="131"/>
    </row>
    <row r="7" spans="1:24" x14ac:dyDescent="0.15">
      <c r="A7" s="126">
        <f>1+A6</f>
        <v>2</v>
      </c>
      <c r="B7" s="409" t="str">
        <f>IF(名簿ﾘｽﾄ!D6="","",名簿ﾘｽﾄ!D6)</f>
        <v>飯田</v>
      </c>
      <c r="C7" s="409" t="str">
        <f>IF(名簿ﾘｽﾄ!E6="","",名簿ﾘｽﾄ!E6)</f>
        <v>飯田　登</v>
      </c>
      <c r="D7" s="409" t="str">
        <f>IF(名簿ﾘｽﾄ!F6="","",名簿ﾘｽﾄ!F6)</f>
        <v>イイダ　ノボル</v>
      </c>
      <c r="E7" s="409">
        <f>IF(名簿ﾘｽﾄ!G6="","",名簿ﾘｽﾄ!G6)</f>
        <v>16864</v>
      </c>
      <c r="F7" s="117">
        <f>名簿ﾘｽﾄ!H6</f>
        <v>28569</v>
      </c>
      <c r="G7" s="119"/>
      <c r="H7" s="118">
        <f>シート②組合せ表!G31</f>
        <v>0</v>
      </c>
      <c r="I7" s="125" t="str">
        <f>IF(シート④スコア記入依頼用紙!O53="","",シート④スコア記入依頼用紙!O53)</f>
        <v/>
      </c>
      <c r="J7" s="114"/>
      <c r="K7" s="114"/>
      <c r="L7" s="126">
        <v>3</v>
      </c>
      <c r="M7" s="116" t="str">
        <f t="shared" si="0"/>
        <v>五十嵐</v>
      </c>
      <c r="N7" s="127" t="str">
        <f>IF(IFERROR(VLOOKUP(M7,集計!$H$5:$I$44,2,FALSE),"")=0,"",IFERROR(VLOOKUP(M7,集計!$H$5:$I$44,2,FALSE),""))</f>
        <v/>
      </c>
      <c r="P7" s="130"/>
      <c r="Q7" s="15"/>
      <c r="S7" s="131"/>
    </row>
    <row r="8" spans="1:24" x14ac:dyDescent="0.15">
      <c r="A8" s="126">
        <f t="shared" ref="A8:A64" si="1">1+A7</f>
        <v>3</v>
      </c>
      <c r="B8" s="409" t="str">
        <f>IF(名簿ﾘｽﾄ!D7="","",名簿ﾘｽﾄ!D7)</f>
        <v>五十嵐</v>
      </c>
      <c r="C8" s="409" t="str">
        <f>IF(名簿ﾘｽﾄ!E7="","",名簿ﾘｽﾄ!E7)</f>
        <v>五十嵐　信太郎</v>
      </c>
      <c r="D8" s="409" t="str">
        <f>IF(名簿ﾘｽﾄ!F7="","",名簿ﾘｽﾄ!F7)</f>
        <v>イガラシ　シンタロウ</v>
      </c>
      <c r="E8" s="409">
        <f>IF(名簿ﾘｽﾄ!G7="","",名簿ﾘｽﾄ!G7)</f>
        <v>16799</v>
      </c>
      <c r="F8" s="117">
        <f>名簿ﾘｽﾄ!H7</f>
        <v>28634</v>
      </c>
      <c r="G8" s="119"/>
      <c r="H8" s="118">
        <f>シート②組合せ表!H31</f>
        <v>0</v>
      </c>
      <c r="I8" s="125" t="str">
        <f>IF(シート④スコア記入依頼用紙!O54="","",シート④スコア記入依頼用紙!O54)</f>
        <v/>
      </c>
      <c r="J8" s="114"/>
      <c r="K8" s="114"/>
      <c r="L8" s="126">
        <v>4</v>
      </c>
      <c r="M8" s="116" t="str">
        <f t="shared" si="0"/>
        <v>市来</v>
      </c>
      <c r="N8" s="127" t="str">
        <f>IF(IFERROR(VLOOKUP(M8,集計!$H$5:$I$44,2,FALSE),"")=0,"",IFERROR(VLOOKUP(M8,集計!$H$5:$I$44,2,FALSE),""))</f>
        <v/>
      </c>
      <c r="P8" s="130"/>
      <c r="Q8" s="15"/>
      <c r="S8" s="131"/>
    </row>
    <row r="9" spans="1:24" x14ac:dyDescent="0.15">
      <c r="A9" s="126">
        <f t="shared" si="1"/>
        <v>4</v>
      </c>
      <c r="B9" s="409" t="str">
        <f>IF(名簿ﾘｽﾄ!D8="","",名簿ﾘｽﾄ!D8)</f>
        <v>市来</v>
      </c>
      <c r="C9" s="409" t="str">
        <f>IF(名簿ﾘｽﾄ!E8="","",名簿ﾘｽﾄ!E8)</f>
        <v xml:space="preserve">市来　正浩 </v>
      </c>
      <c r="D9" s="409" t="str">
        <f>IF(名簿ﾘｽﾄ!F8="","",名簿ﾘｽﾄ!F8)</f>
        <v>イチキ　マサヒロ</v>
      </c>
      <c r="E9" s="409">
        <f>IF(名簿ﾘｽﾄ!G8="","",名簿ﾘｽﾄ!G8)</f>
        <v>16474</v>
      </c>
      <c r="F9" s="117">
        <f>名簿ﾘｽﾄ!H8</f>
        <v>28959</v>
      </c>
      <c r="G9" s="119"/>
      <c r="H9" s="118">
        <f>シート②組合せ表!E32</f>
        <v>0</v>
      </c>
      <c r="I9" s="125" t="str">
        <f>IF(シート④スコア記入依頼用紙!O55="","",シート④スコア記入依頼用紙!O55)</f>
        <v/>
      </c>
      <c r="J9" s="114"/>
      <c r="K9" s="114"/>
      <c r="L9" s="126">
        <v>5</v>
      </c>
      <c r="M9" s="116" t="str">
        <f t="shared" si="0"/>
        <v>伊藤</v>
      </c>
      <c r="N9" s="127" t="str">
        <f>IF(IFERROR(VLOOKUP(M9,集計!$H$5:$I$44,2,FALSE),"")=0,"",IFERROR(VLOOKUP(M9,集計!$H$5:$I$44,2,FALSE),""))</f>
        <v/>
      </c>
      <c r="P9" s="130"/>
      <c r="Q9" s="15"/>
      <c r="S9" s="131"/>
    </row>
    <row r="10" spans="1:24" x14ac:dyDescent="0.15">
      <c r="A10" s="126">
        <f t="shared" si="1"/>
        <v>5</v>
      </c>
      <c r="B10" s="409" t="str">
        <f>IF(名簿ﾘｽﾄ!D9="","",名簿ﾘｽﾄ!D9)</f>
        <v>伊藤</v>
      </c>
      <c r="C10" s="409" t="str">
        <f>IF(名簿ﾘｽﾄ!E9="","",名簿ﾘｽﾄ!E9)</f>
        <v>伊藤 雅明</v>
      </c>
      <c r="D10" s="409" t="str">
        <f>IF(名簿ﾘｽﾄ!F9="","",名簿ﾘｽﾄ!F9)</f>
        <v>イトウ　マサアキ</v>
      </c>
      <c r="E10" s="409">
        <f>IF(名簿ﾘｽﾄ!G9="","",名簿ﾘｽﾄ!G9)</f>
        <v>18102</v>
      </c>
      <c r="F10" s="117">
        <f>名簿ﾘｽﾄ!H9</f>
        <v>27331</v>
      </c>
      <c r="G10" s="119"/>
      <c r="H10" s="118">
        <f>シート②組合せ表!F32</f>
        <v>0</v>
      </c>
      <c r="I10" s="125" t="str">
        <f>IF(シート④スコア記入依頼用紙!O56="","",シート④スコア記入依頼用紙!O56)</f>
        <v/>
      </c>
      <c r="J10" s="114"/>
      <c r="K10" s="114"/>
      <c r="L10" s="126">
        <v>6</v>
      </c>
      <c r="M10" s="116" t="str">
        <f t="shared" si="0"/>
        <v>上田</v>
      </c>
      <c r="N10" s="127" t="str">
        <f>IF(IFERROR(VLOOKUP(M10,集計!$H$5:$I$44,2,FALSE),"")=0,"",IFERROR(VLOOKUP(M10,集計!$H$5:$I$44,2,FALSE),""))</f>
        <v/>
      </c>
      <c r="P10" s="130"/>
      <c r="Q10" s="15"/>
      <c r="S10" s="131"/>
    </row>
    <row r="11" spans="1:24" x14ac:dyDescent="0.15">
      <c r="A11" s="126">
        <f t="shared" si="1"/>
        <v>6</v>
      </c>
      <c r="B11" s="409" t="str">
        <f>IF(名簿ﾘｽﾄ!D10="","",名簿ﾘｽﾄ!D10)</f>
        <v>上田</v>
      </c>
      <c r="C11" s="409" t="str">
        <f>IF(名簿ﾘｽﾄ!E10="","",名簿ﾘｽﾄ!E10)</f>
        <v>上田　誠一</v>
      </c>
      <c r="D11" s="409" t="str">
        <f>IF(名簿ﾘｽﾄ!F10="","",名簿ﾘｽﾄ!F10)</f>
        <v>ウエダ　セイイチ</v>
      </c>
      <c r="E11" s="409">
        <f>IF(名簿ﾘｽﾄ!G10="","",名簿ﾘｽﾄ!G10)</f>
        <v>17200</v>
      </c>
      <c r="F11" s="117">
        <f>名簿ﾘｽﾄ!H10</f>
        <v>28233</v>
      </c>
      <c r="G11" s="119"/>
      <c r="H11" s="118">
        <f>シート②組合せ表!G32</f>
        <v>0</v>
      </c>
      <c r="I11" s="125" t="str">
        <f>IF(シート④スコア記入依頼用紙!O57="","",シート④スコア記入依頼用紙!O57)</f>
        <v/>
      </c>
      <c r="J11" s="114"/>
      <c r="K11" s="114"/>
      <c r="L11" s="126">
        <v>7</v>
      </c>
      <c r="M11" s="116" t="str">
        <f t="shared" si="0"/>
        <v>大塩</v>
      </c>
      <c r="N11" s="127" t="str">
        <f>IF(IFERROR(VLOOKUP(M11,集計!$H$5:$I$44,2,FALSE),"")=0,"",IFERROR(VLOOKUP(M11,集計!$H$5:$I$44,2,FALSE),""))</f>
        <v/>
      </c>
      <c r="P11" s="130"/>
      <c r="Q11" s="15"/>
      <c r="S11" s="131"/>
    </row>
    <row r="12" spans="1:24" x14ac:dyDescent="0.15">
      <c r="A12" s="126">
        <f t="shared" si="1"/>
        <v>7</v>
      </c>
      <c r="B12" s="409" t="str">
        <f>IF(名簿ﾘｽﾄ!D11="","",名簿ﾘｽﾄ!D11)</f>
        <v>大塩</v>
      </c>
      <c r="C12" s="409" t="str">
        <f>IF(名簿ﾘｽﾄ!E11="","",名簿ﾘｽﾄ!E11)</f>
        <v>大塩 忠</v>
      </c>
      <c r="D12" s="409" t="str">
        <f>IF(名簿ﾘｽﾄ!F11="","",名簿ﾘｽﾄ!F11)</f>
        <v>オオシオ　タダシ</v>
      </c>
      <c r="E12" s="409">
        <f>IF(名簿ﾘｽﾄ!G11="","",名簿ﾘｽﾄ!G11)</f>
        <v>17866</v>
      </c>
      <c r="F12" s="117">
        <f>名簿ﾘｽﾄ!H11</f>
        <v>27567</v>
      </c>
      <c r="G12" s="119"/>
      <c r="H12" s="118">
        <f>シート②組合せ表!H32</f>
        <v>0</v>
      </c>
      <c r="I12" s="125" t="str">
        <f>IF(シート④スコア記入依頼用紙!O58="","",シート④スコア記入依頼用紙!O58)</f>
        <v/>
      </c>
      <c r="J12" s="114"/>
      <c r="K12" s="114"/>
      <c r="L12" s="126">
        <v>8</v>
      </c>
      <c r="M12" s="116" t="str">
        <f t="shared" si="0"/>
        <v>大橋</v>
      </c>
      <c r="N12" s="127" t="str">
        <f>IF(IFERROR(VLOOKUP(M12,集計!$H$5:$I$44,2,FALSE),"")=0,"",IFERROR(VLOOKUP(M12,集計!$H$5:$I$44,2,FALSE),""))</f>
        <v/>
      </c>
      <c r="P12" s="130"/>
      <c r="Q12" s="15"/>
      <c r="S12" s="131"/>
    </row>
    <row r="13" spans="1:24" x14ac:dyDescent="0.15">
      <c r="A13" s="126">
        <f t="shared" si="1"/>
        <v>8</v>
      </c>
      <c r="B13" s="409" t="str">
        <f>IF(名簿ﾘｽﾄ!D12="","",名簿ﾘｽﾄ!D12)</f>
        <v>大橋</v>
      </c>
      <c r="C13" s="409" t="str">
        <f>IF(名簿ﾘｽﾄ!E12="","",名簿ﾘｽﾄ!E12)</f>
        <v>大橋　豊</v>
      </c>
      <c r="D13" s="409" t="str">
        <f>IF(名簿ﾘｽﾄ!F12="","",名簿ﾘｽﾄ!F12)</f>
        <v>オオハシ　ユタカ</v>
      </c>
      <c r="E13" s="409">
        <f>IF(名簿ﾘｽﾄ!G12="","",名簿ﾘｽﾄ!G12)</f>
        <v>20378</v>
      </c>
      <c r="F13" s="117">
        <f>名簿ﾘｽﾄ!H12</f>
        <v>25055</v>
      </c>
      <c r="G13" s="119"/>
      <c r="H13" s="118">
        <f>シート②組合せ表!E33</f>
        <v>0</v>
      </c>
      <c r="I13" s="125" t="str">
        <f>IF(シート④スコア記入依頼用紙!O59="","",シート④スコア記入依頼用紙!O59)</f>
        <v/>
      </c>
      <c r="J13" s="114"/>
      <c r="K13" s="114"/>
      <c r="L13" s="126">
        <v>9</v>
      </c>
      <c r="M13" s="116" t="str">
        <f t="shared" si="0"/>
        <v>岡本</v>
      </c>
      <c r="N13" s="127" t="str">
        <f>IF(IFERROR(VLOOKUP(M13,集計!$H$5:$I$44,2,FALSE),"")=0,"",IFERROR(VLOOKUP(M13,集計!$H$5:$I$44,2,FALSE),""))</f>
        <v/>
      </c>
      <c r="P13" s="130"/>
      <c r="Q13" s="15"/>
    </row>
    <row r="14" spans="1:24" x14ac:dyDescent="0.15">
      <c r="A14" s="126">
        <f t="shared" si="1"/>
        <v>9</v>
      </c>
      <c r="B14" s="409" t="str">
        <f>IF(名簿ﾘｽﾄ!D13="","",名簿ﾘｽﾄ!D13)</f>
        <v>岡本</v>
      </c>
      <c r="C14" s="409" t="str">
        <f>IF(名簿ﾘｽﾄ!E13="","",名簿ﾘｽﾄ!E13)</f>
        <v>岡本　馨</v>
      </c>
      <c r="D14" s="409" t="str">
        <f>IF(名簿ﾘｽﾄ!F13="","",名簿ﾘｽﾄ!F13)</f>
        <v>オカモト　カオル</v>
      </c>
      <c r="E14" s="409">
        <f>IF(名簿ﾘｽﾄ!G13="","",名簿ﾘｽﾄ!G13)</f>
        <v>15992</v>
      </c>
      <c r="F14" s="117">
        <f>名簿ﾘｽﾄ!H13</f>
        <v>29441</v>
      </c>
      <c r="G14" s="119"/>
      <c r="H14" s="118">
        <f>シート②組合せ表!F33</f>
        <v>0</v>
      </c>
      <c r="I14" s="125" t="str">
        <f>IF(シート④スコア記入依頼用紙!O60="","",シート④スコア記入依頼用紙!O60)</f>
        <v/>
      </c>
      <c r="J14" s="114"/>
      <c r="K14" s="114"/>
      <c r="L14" s="126">
        <v>10</v>
      </c>
      <c r="M14" s="116" t="str">
        <f t="shared" si="0"/>
        <v>興津</v>
      </c>
      <c r="N14" s="127" t="str">
        <f>IF(IFERROR(VLOOKUP(M14,集計!$H$5:$I$44,2,FALSE),"")=0,"",IFERROR(VLOOKUP(M14,集計!$H$5:$I$44,2,FALSE),""))</f>
        <v/>
      </c>
      <c r="P14" s="130"/>
      <c r="Q14" s="15"/>
    </row>
    <row r="15" spans="1:24" x14ac:dyDescent="0.15">
      <c r="A15" s="126">
        <f t="shared" si="1"/>
        <v>10</v>
      </c>
      <c r="B15" s="409" t="str">
        <f>IF(名簿ﾘｽﾄ!D14="","",名簿ﾘｽﾄ!D14)</f>
        <v>興津</v>
      </c>
      <c r="C15" s="409" t="str">
        <f>IF(名簿ﾘｽﾄ!E14="","",名簿ﾘｽﾄ!E14)</f>
        <v>興津　忠隆</v>
      </c>
      <c r="D15" s="409" t="str">
        <f>IF(名簿ﾘｽﾄ!F14="","",名簿ﾘｽﾄ!F14)</f>
        <v>オキツ　タダタカ</v>
      </c>
      <c r="E15" s="409">
        <f>IF(名簿ﾘｽﾄ!G14="","",名簿ﾘｽﾄ!G14)</f>
        <v>15393</v>
      </c>
      <c r="F15" s="117">
        <f>名簿ﾘｽﾄ!H14</f>
        <v>30040</v>
      </c>
      <c r="G15" s="119"/>
      <c r="H15" s="118">
        <f>シート②組合せ表!G33</f>
        <v>0</v>
      </c>
      <c r="I15" s="125" t="str">
        <f>IF(シート④スコア記入依頼用紙!O61="","",シート④スコア記入依頼用紙!O61)</f>
        <v/>
      </c>
      <c r="J15" s="114"/>
      <c r="K15" s="114"/>
      <c r="L15" s="126">
        <v>11</v>
      </c>
      <c r="M15" s="116" t="str">
        <f t="shared" si="0"/>
        <v>奥原</v>
      </c>
      <c r="N15" s="127" t="str">
        <f>IF(IFERROR(VLOOKUP(M15,集計!$H$5:$I$44,2,FALSE),"")=0,"",IFERROR(VLOOKUP(M15,集計!$H$5:$I$44,2,FALSE),""))</f>
        <v/>
      </c>
      <c r="P15" s="130"/>
      <c r="Q15" s="15"/>
    </row>
    <row r="16" spans="1:24" x14ac:dyDescent="0.15">
      <c r="A16" s="126">
        <f t="shared" si="1"/>
        <v>11</v>
      </c>
      <c r="B16" s="409" t="str">
        <f>IF(名簿ﾘｽﾄ!D15="","",名簿ﾘｽﾄ!D15)</f>
        <v>奥原</v>
      </c>
      <c r="C16" s="409" t="str">
        <f>IF(名簿ﾘｽﾄ!E15="","",名簿ﾘｽﾄ!E15)</f>
        <v>奥原　博</v>
      </c>
      <c r="D16" s="409" t="str">
        <f>IF(名簿ﾘｽﾄ!F15="","",名簿ﾘｽﾄ!F15)</f>
        <v>オクハラ　ヒロシ</v>
      </c>
      <c r="E16" s="409">
        <f>IF(名簿ﾘｽﾄ!G15="","",名簿ﾘｽﾄ!G15)</f>
        <v>18057</v>
      </c>
      <c r="F16" s="117">
        <f>名簿ﾘｽﾄ!H15</f>
        <v>27376</v>
      </c>
      <c r="G16" s="119"/>
      <c r="H16" s="118">
        <f>シート②組合せ表!H33</f>
        <v>0</v>
      </c>
      <c r="I16" s="125" t="str">
        <f>IF(シート④スコア記入依頼用紙!O62="","",シート④スコア記入依頼用紙!O62)</f>
        <v/>
      </c>
      <c r="J16" s="114"/>
      <c r="K16" s="114"/>
      <c r="L16" s="126">
        <v>12</v>
      </c>
      <c r="M16" s="116" t="str">
        <f t="shared" si="0"/>
        <v>小倉</v>
      </c>
      <c r="N16" s="127" t="str">
        <f>IF(IFERROR(VLOOKUP(M16,集計!$H$5:$I$44,2,FALSE),"")=0,"",IFERROR(VLOOKUP(M16,集計!$H$5:$I$44,2,FALSE),""))</f>
        <v/>
      </c>
      <c r="P16" s="130"/>
      <c r="Q16" s="15"/>
    </row>
    <row r="17" spans="1:17" x14ac:dyDescent="0.15">
      <c r="A17" s="126">
        <f t="shared" si="1"/>
        <v>12</v>
      </c>
      <c r="B17" s="409" t="str">
        <f>IF(名簿ﾘｽﾄ!D16="","",名簿ﾘｽﾄ!D16)</f>
        <v>小倉</v>
      </c>
      <c r="C17" s="409" t="str">
        <f>IF(名簿ﾘｽﾄ!E16="","",名簿ﾘｽﾄ!E16)</f>
        <v>小倉　節生</v>
      </c>
      <c r="D17" s="409" t="str">
        <f>IF(名簿ﾘｽﾄ!F16="","",名簿ﾘｽﾄ!F16)</f>
        <v>オグラ　セツオ</v>
      </c>
      <c r="E17" s="409">
        <f>IF(名簿ﾘｽﾄ!G16="","",名簿ﾘｽﾄ!G16)</f>
        <v>17538</v>
      </c>
      <c r="F17" s="117">
        <f>名簿ﾘｽﾄ!H16</f>
        <v>27895</v>
      </c>
      <c r="G17" s="119"/>
      <c r="H17" s="118">
        <f>シート②組合せ表!E34</f>
        <v>0</v>
      </c>
      <c r="I17" s="125" t="str">
        <f>IF(シート④スコア記入依頼用紙!O63="","",シート④スコア記入依頼用紙!O63)</f>
        <v/>
      </c>
      <c r="J17" s="114"/>
      <c r="K17" s="114"/>
      <c r="L17" s="126">
        <v>13</v>
      </c>
      <c r="M17" s="116" t="str">
        <f t="shared" si="0"/>
        <v>小野山</v>
      </c>
      <c r="N17" s="127" t="str">
        <f>IF(IFERROR(VLOOKUP(M17,集計!$H$5:$I$44,2,FALSE),"")=0,"",IFERROR(VLOOKUP(M17,集計!$H$5:$I$44,2,FALSE),""))</f>
        <v/>
      </c>
      <c r="P17" s="130"/>
      <c r="Q17" s="15"/>
    </row>
    <row r="18" spans="1:17" x14ac:dyDescent="0.15">
      <c r="A18" s="126">
        <f t="shared" si="1"/>
        <v>13</v>
      </c>
      <c r="B18" s="409" t="str">
        <f>IF(名簿ﾘｽﾄ!D17="","",名簿ﾘｽﾄ!D17)</f>
        <v>小野山</v>
      </c>
      <c r="C18" s="409" t="str">
        <f>IF(名簿ﾘｽﾄ!E17="","",名簿ﾘｽﾄ!E17)</f>
        <v>小野山　哲夫</v>
      </c>
      <c r="D18" s="409" t="str">
        <f>IF(名簿ﾘｽﾄ!F17="","",名簿ﾘｽﾄ!F17)</f>
        <v>オノヤ マテツオ</v>
      </c>
      <c r="E18" s="409">
        <f>IF(名簿ﾘｽﾄ!G17="","",名簿ﾘｽﾄ!G17)</f>
        <v>16703</v>
      </c>
      <c r="F18" s="117">
        <f>名簿ﾘｽﾄ!H17</f>
        <v>28730</v>
      </c>
      <c r="G18" s="119"/>
      <c r="H18" s="118">
        <f>シート②組合せ表!F34</f>
        <v>0</v>
      </c>
      <c r="I18" s="125" t="str">
        <f>IF(シート④スコア記入依頼用紙!O64="","",シート④スコア記入依頼用紙!O64)</f>
        <v/>
      </c>
      <c r="J18" s="114"/>
      <c r="K18" s="114"/>
      <c r="L18" s="126">
        <v>14</v>
      </c>
      <c r="M18" s="116" t="str">
        <f t="shared" si="0"/>
        <v>笠原</v>
      </c>
      <c r="N18" s="127" t="str">
        <f>IF(IFERROR(VLOOKUP(M18,集計!$H$5:$I$44,2,FALSE),"")=0,"",IFERROR(VLOOKUP(M18,集計!$H$5:$I$44,2,FALSE),""))</f>
        <v/>
      </c>
      <c r="P18" s="130"/>
      <c r="Q18" s="15"/>
    </row>
    <row r="19" spans="1:17" x14ac:dyDescent="0.15">
      <c r="A19" s="126">
        <f t="shared" si="1"/>
        <v>14</v>
      </c>
      <c r="B19" s="409" t="str">
        <f>IF(名簿ﾘｽﾄ!D18="","",名簿ﾘｽﾄ!D18)</f>
        <v>笠原</v>
      </c>
      <c r="C19" s="409" t="str">
        <f>IF(名簿ﾘｽﾄ!E18="","",名簿ﾘｽﾄ!E18)</f>
        <v>笠原　正信</v>
      </c>
      <c r="D19" s="409" t="str">
        <f>IF(名簿ﾘｽﾄ!F18="","",名簿ﾘｽﾄ!F18)</f>
        <v>カサハラ　マサノブ</v>
      </c>
      <c r="E19" s="409">
        <f>IF(名簿ﾘｽﾄ!G18="","",名簿ﾘｽﾄ!G18)</f>
        <v>19098</v>
      </c>
      <c r="F19" s="117">
        <f>名簿ﾘｽﾄ!H18</f>
        <v>26335</v>
      </c>
      <c r="G19" s="119"/>
      <c r="H19" s="118">
        <f>シート②組合せ表!G34</f>
        <v>0</v>
      </c>
      <c r="I19" s="125" t="str">
        <f>IF(シート④スコア記入依頼用紙!O65="","",シート④スコア記入依頼用紙!O65)</f>
        <v/>
      </c>
      <c r="J19" s="114"/>
      <c r="K19" s="114"/>
      <c r="L19" s="126">
        <v>15</v>
      </c>
      <c r="M19" s="116" t="str">
        <f t="shared" si="0"/>
        <v>勝田</v>
      </c>
      <c r="N19" s="127" t="str">
        <f>IF(IFERROR(VLOOKUP(M19,集計!$H$5:$I$44,2,FALSE),"")=0,"",IFERROR(VLOOKUP(M19,集計!$H$5:$I$44,2,FALSE),""))</f>
        <v/>
      </c>
      <c r="P19" s="130"/>
      <c r="Q19" s="15"/>
    </row>
    <row r="20" spans="1:17" x14ac:dyDescent="0.15">
      <c r="A20" s="126">
        <f t="shared" si="1"/>
        <v>15</v>
      </c>
      <c r="B20" s="409" t="str">
        <f>IF(名簿ﾘｽﾄ!D19="","",名簿ﾘｽﾄ!D19)</f>
        <v>勝田</v>
      </c>
      <c r="C20" s="409" t="str">
        <f>IF(名簿ﾘｽﾄ!E19="","",名簿ﾘｽﾄ!E19)</f>
        <v>勝田　重雄</v>
      </c>
      <c r="D20" s="409" t="str">
        <f>IF(名簿ﾘｽﾄ!F19="","",名簿ﾘｽﾄ!F19)</f>
        <v>カツタ　シゲオ</v>
      </c>
      <c r="E20" s="409">
        <f>IF(名簿ﾘｽﾄ!G19="","",名簿ﾘｽﾄ!G19)</f>
        <v>18301</v>
      </c>
      <c r="F20" s="117">
        <f>名簿ﾘｽﾄ!H19</f>
        <v>27132</v>
      </c>
      <c r="G20" s="119"/>
      <c r="H20" s="118">
        <f>シート②組合せ表!H34</f>
        <v>0</v>
      </c>
      <c r="I20" s="125" t="str">
        <f>IF(シート④スコア記入依頼用紙!O66="","",シート④スコア記入依頼用紙!O66)</f>
        <v/>
      </c>
      <c r="J20" s="114"/>
      <c r="K20" s="114"/>
      <c r="L20" s="126">
        <v>16</v>
      </c>
      <c r="M20" s="116" t="str">
        <f t="shared" si="0"/>
        <v>神崎</v>
      </c>
      <c r="N20" s="127" t="str">
        <f>IF(IFERROR(VLOOKUP(M20,集計!$H$5:$I$44,2,FALSE),"")=0,"",IFERROR(VLOOKUP(M20,集計!$H$5:$I$44,2,FALSE),""))</f>
        <v/>
      </c>
      <c r="P20" s="130"/>
      <c r="Q20" s="15"/>
    </row>
    <row r="21" spans="1:17" x14ac:dyDescent="0.15">
      <c r="A21" s="126">
        <f t="shared" si="1"/>
        <v>16</v>
      </c>
      <c r="B21" s="409" t="str">
        <f>IF(名簿ﾘｽﾄ!D20="","",名簿ﾘｽﾄ!D20)</f>
        <v>神崎</v>
      </c>
      <c r="C21" s="409" t="str">
        <f>IF(名簿ﾘｽﾄ!E20="","",名簿ﾘｽﾄ!E20)</f>
        <v>神崎　了吉</v>
      </c>
      <c r="D21" s="409" t="str">
        <f>IF(名簿ﾘｽﾄ!F20="","",名簿ﾘｽﾄ!F20)</f>
        <v>カンザキ　リョウキチ</v>
      </c>
      <c r="E21" s="409">
        <f>IF(名簿ﾘｽﾄ!G20="","",名簿ﾘｽﾄ!G20)</f>
        <v>18426</v>
      </c>
      <c r="F21" s="117">
        <f>名簿ﾘｽﾄ!H20</f>
        <v>27007</v>
      </c>
      <c r="G21" s="119"/>
      <c r="H21" s="118">
        <f>シート②組合せ表!E35</f>
        <v>0</v>
      </c>
      <c r="I21" s="125" t="str">
        <f>IF(シート④スコア記入依頼用紙!O67="","",シート④スコア記入依頼用紙!O67)</f>
        <v/>
      </c>
      <c r="J21" s="114"/>
      <c r="K21" s="114"/>
      <c r="L21" s="126">
        <v>17</v>
      </c>
      <c r="M21" s="116" t="str">
        <f t="shared" si="0"/>
        <v>神林</v>
      </c>
      <c r="N21" s="127" t="str">
        <f>IF(IFERROR(VLOOKUP(M21,集計!$H$5:$I$44,2,FALSE),"")=0,"",IFERROR(VLOOKUP(M21,集計!$H$5:$I$44,2,FALSE),""))</f>
        <v/>
      </c>
      <c r="P21" s="130"/>
      <c r="Q21" s="15"/>
    </row>
    <row r="22" spans="1:17" x14ac:dyDescent="0.15">
      <c r="A22" s="126">
        <f t="shared" si="1"/>
        <v>17</v>
      </c>
      <c r="B22" s="409" t="str">
        <f>IF(名簿ﾘｽﾄ!D21="","",名簿ﾘｽﾄ!D21)</f>
        <v>神林</v>
      </c>
      <c r="C22" s="409" t="str">
        <f>IF(名簿ﾘｽﾄ!E21="","",名簿ﾘｽﾄ!E21)</f>
        <v>神林 和夫</v>
      </c>
      <c r="D22" s="409" t="str">
        <f>IF(名簿ﾘｽﾄ!F21="","",名簿ﾘｽﾄ!F21)</f>
        <v>カンバヤシ　カズオ</v>
      </c>
      <c r="E22" s="409">
        <f>IF(名簿ﾘｽﾄ!G21="","",名簿ﾘｽﾄ!G21)</f>
        <v>17285</v>
      </c>
      <c r="F22" s="117">
        <f>名簿ﾘｽﾄ!H21</f>
        <v>28148</v>
      </c>
      <c r="G22" s="119"/>
      <c r="H22" s="118">
        <f>シート②組合せ表!F35</f>
        <v>0</v>
      </c>
      <c r="I22" s="125" t="str">
        <f>IF(シート④スコア記入依頼用紙!O68="","",シート④スコア記入依頼用紙!O68)</f>
        <v/>
      </c>
      <c r="J22" s="114"/>
      <c r="K22" s="114"/>
      <c r="L22" s="126">
        <v>18</v>
      </c>
      <c r="M22" s="116" t="str">
        <f t="shared" si="0"/>
        <v>君島</v>
      </c>
      <c r="N22" s="127" t="str">
        <f>IF(IFERROR(VLOOKUP(M22,集計!$H$5:$I$44,2,FALSE),"")=0,"",IFERROR(VLOOKUP(M22,集計!$H$5:$I$44,2,FALSE),""))</f>
        <v/>
      </c>
      <c r="P22" s="130"/>
      <c r="Q22" s="15"/>
    </row>
    <row r="23" spans="1:17" x14ac:dyDescent="0.15">
      <c r="A23" s="126">
        <f t="shared" si="1"/>
        <v>18</v>
      </c>
      <c r="B23" s="409" t="str">
        <f>IF(名簿ﾘｽﾄ!D22="","",名簿ﾘｽﾄ!D22)</f>
        <v>君島</v>
      </c>
      <c r="C23" s="409" t="str">
        <f>IF(名簿ﾘｽﾄ!E22="","",名簿ﾘｽﾄ!E22)</f>
        <v>君島　久次</v>
      </c>
      <c r="D23" s="409" t="str">
        <f>IF(名簿ﾘｽﾄ!F22="","",名簿ﾘｽﾄ!F22)</f>
        <v>キミジマ　キュウジ</v>
      </c>
      <c r="E23" s="409">
        <f>IF(名簿ﾘｽﾄ!G22="","",名簿ﾘｽﾄ!G22)</f>
        <v>15707</v>
      </c>
      <c r="F23" s="117">
        <f>名簿ﾘｽﾄ!H22</f>
        <v>29726</v>
      </c>
      <c r="G23" s="119"/>
      <c r="H23" s="118">
        <f>シート②組合せ表!G35</f>
        <v>0</v>
      </c>
      <c r="I23" s="125" t="str">
        <f>IF(シート④スコア記入依頼用紙!O69="","",シート④スコア記入依頼用紙!O69)</f>
        <v/>
      </c>
      <c r="J23" s="114"/>
      <c r="K23" s="114"/>
      <c r="L23" s="126">
        <v>19</v>
      </c>
      <c r="M23" s="116" t="str">
        <f t="shared" si="0"/>
        <v>郷間</v>
      </c>
      <c r="N23" s="127" t="str">
        <f>IF(IFERROR(VLOOKUP(M23,集計!$H$5:$I$44,2,FALSE),"")=0,"",IFERROR(VLOOKUP(M23,集計!$H$5:$I$44,2,FALSE),""))</f>
        <v/>
      </c>
      <c r="P23" s="130"/>
      <c r="Q23" s="15"/>
    </row>
    <row r="24" spans="1:17" x14ac:dyDescent="0.15">
      <c r="A24" s="126">
        <f t="shared" si="1"/>
        <v>19</v>
      </c>
      <c r="B24" s="409" t="str">
        <f>IF(名簿ﾘｽﾄ!D23="","",名簿ﾘｽﾄ!D23)</f>
        <v>郷間</v>
      </c>
      <c r="C24" s="409" t="str">
        <f>IF(名簿ﾘｽﾄ!E23="","",名簿ﾘｽﾄ!E23)</f>
        <v>郷間　武志</v>
      </c>
      <c r="D24" s="409" t="str">
        <f>IF(名簿ﾘｽﾄ!F23="","",名簿ﾘｽﾄ!F23)</f>
        <v>ゴウマ　タケシ</v>
      </c>
      <c r="E24" s="409">
        <f>IF(名簿ﾘｽﾄ!G23="","",名簿ﾘｽﾄ!G23)</f>
        <v>16358</v>
      </c>
      <c r="F24" s="117">
        <f>名簿ﾘｽﾄ!H23</f>
        <v>29075</v>
      </c>
      <c r="G24" s="119"/>
      <c r="H24" s="118">
        <f>シート②組合せ表!H35</f>
        <v>0</v>
      </c>
      <c r="I24" s="125" t="str">
        <f>IF(シート④スコア記入依頼用紙!O70="","",シート④スコア記入依頼用紙!O70)</f>
        <v/>
      </c>
      <c r="J24" s="114"/>
      <c r="K24" s="114"/>
      <c r="L24" s="126">
        <v>20</v>
      </c>
      <c r="M24" s="116" t="str">
        <f t="shared" si="0"/>
        <v>小林邦</v>
      </c>
      <c r="N24" s="127" t="str">
        <f>IF(IFERROR(VLOOKUP(M24,集計!$H$5:$I$44,2,FALSE),"")=0,"",IFERROR(VLOOKUP(M24,集計!$H$5:$I$44,2,FALSE),""))</f>
        <v/>
      </c>
      <c r="P24" s="130"/>
      <c r="Q24" s="15"/>
    </row>
    <row r="25" spans="1:17" x14ac:dyDescent="0.15">
      <c r="A25" s="126">
        <f t="shared" si="1"/>
        <v>20</v>
      </c>
      <c r="B25" s="409" t="str">
        <f>IF(名簿ﾘｽﾄ!D24="","",名簿ﾘｽﾄ!D24)</f>
        <v>小林邦</v>
      </c>
      <c r="C25" s="409" t="str">
        <f>IF(名簿ﾘｽﾄ!E24="","",名簿ﾘｽﾄ!E24)</f>
        <v>小林　邦雄</v>
      </c>
      <c r="D25" s="409" t="str">
        <f>IF(名簿ﾘｽﾄ!F24="","",名簿ﾘｽﾄ!F24)</f>
        <v>コバヤシ　クニオ</v>
      </c>
      <c r="E25" s="409">
        <f>IF(名簿ﾘｽﾄ!G24="","",名簿ﾘｽﾄ!G24)</f>
        <v>17377</v>
      </c>
      <c r="F25" s="117">
        <f>名簿ﾘｽﾄ!H24</f>
        <v>28056</v>
      </c>
      <c r="G25" s="119"/>
      <c r="H25" s="118">
        <f>シート②組合せ表!E36</f>
        <v>0</v>
      </c>
      <c r="I25" s="125" t="str">
        <f>IF(シート④スコア記入依頼用紙!O71="","",シート④スコア記入依頼用紙!O71)</f>
        <v/>
      </c>
      <c r="J25" s="114"/>
      <c r="K25" s="114"/>
      <c r="L25" s="126">
        <v>21</v>
      </c>
      <c r="M25" s="116" t="str">
        <f t="shared" si="0"/>
        <v>小林修</v>
      </c>
      <c r="N25" s="127" t="str">
        <f>IF(IFERROR(VLOOKUP(M25,集計!$H$5:$I$44,2,FALSE),"")=0,"",IFERROR(VLOOKUP(M25,集計!$H$5:$I$44,2,FALSE),""))</f>
        <v/>
      </c>
      <c r="P25" s="130"/>
      <c r="Q25" s="15"/>
    </row>
    <row r="26" spans="1:17" x14ac:dyDescent="0.15">
      <c r="A26" s="126">
        <f t="shared" si="1"/>
        <v>21</v>
      </c>
      <c r="B26" s="409" t="str">
        <f>IF(名簿ﾘｽﾄ!D25="","",名簿ﾘｽﾄ!D25)</f>
        <v>小林修</v>
      </c>
      <c r="C26" s="409" t="str">
        <f>IF(名簿ﾘｽﾄ!E25="","",名簿ﾘｽﾄ!E25)</f>
        <v>小林　修爾</v>
      </c>
      <c r="D26" s="409" t="str">
        <f>IF(名簿ﾘｽﾄ!F25="","",名簿ﾘｽﾄ!F25)</f>
        <v>コバヤシ　シュウジ</v>
      </c>
      <c r="E26" s="409">
        <f>IF(名簿ﾘｽﾄ!G25="","",名簿ﾘｽﾄ!G25)</f>
        <v>16771</v>
      </c>
      <c r="F26" s="117">
        <f>名簿ﾘｽﾄ!H25</f>
        <v>28662</v>
      </c>
      <c r="G26" s="119"/>
      <c r="H26" s="118">
        <f>シート②組合せ表!F36</f>
        <v>0</v>
      </c>
      <c r="I26" s="125" t="str">
        <f>IF(シート④スコア記入依頼用紙!O72="","",シート④スコア記入依頼用紙!O72)</f>
        <v/>
      </c>
      <c r="J26" s="114"/>
      <c r="K26" s="114"/>
      <c r="L26" s="126">
        <v>22</v>
      </c>
      <c r="M26" s="116" t="str">
        <f t="shared" si="0"/>
        <v>小和瀬</v>
      </c>
      <c r="N26" s="127" t="str">
        <f>IF(IFERROR(VLOOKUP(M26,集計!$H$5:$I$44,2,FALSE),"")=0,"",IFERROR(VLOOKUP(M26,集計!$H$5:$I$44,2,FALSE),""))</f>
        <v/>
      </c>
      <c r="P26" s="130"/>
      <c r="Q26" s="15"/>
    </row>
    <row r="27" spans="1:17" x14ac:dyDescent="0.15">
      <c r="A27" s="126">
        <f t="shared" si="1"/>
        <v>22</v>
      </c>
      <c r="B27" s="409" t="str">
        <f>IF(名簿ﾘｽﾄ!D26="","",名簿ﾘｽﾄ!D26)</f>
        <v>小和瀬</v>
      </c>
      <c r="C27" s="409" t="str">
        <f>IF(名簿ﾘｽﾄ!E26="","",名簿ﾘｽﾄ!E26)</f>
        <v>小和瀬　靖明</v>
      </c>
      <c r="D27" s="409" t="str">
        <f>IF(名簿ﾘｽﾄ!F26="","",名簿ﾘｽﾄ!F26)</f>
        <v>コワセ　ヤスアキ</v>
      </c>
      <c r="E27" s="409">
        <f>IF(名簿ﾘｽﾄ!G26="","",名簿ﾘｽﾄ!G26)</f>
        <v>20669</v>
      </c>
      <c r="F27" s="117">
        <f>名簿ﾘｽﾄ!H26</f>
        <v>24764</v>
      </c>
      <c r="G27" s="119"/>
      <c r="H27" s="118">
        <f>シート②組合せ表!G36</f>
        <v>0</v>
      </c>
      <c r="I27" s="125" t="str">
        <f>IF(シート④スコア記入依頼用紙!O73="","",シート④スコア記入依頼用紙!O73)</f>
        <v/>
      </c>
      <c r="J27" s="114"/>
      <c r="K27" s="114"/>
      <c r="L27" s="126">
        <v>23</v>
      </c>
      <c r="M27" s="116" t="str">
        <f t="shared" si="0"/>
        <v>近藤静</v>
      </c>
      <c r="N27" s="127" t="str">
        <f>IF(IFERROR(VLOOKUP(M27,集計!$H$5:$I$44,2,FALSE),"")=0,"",IFERROR(VLOOKUP(M27,集計!$H$5:$I$44,2,FALSE),""))</f>
        <v/>
      </c>
      <c r="P27" s="130"/>
      <c r="Q27" s="15"/>
    </row>
    <row r="28" spans="1:17" x14ac:dyDescent="0.15">
      <c r="A28" s="126">
        <f t="shared" si="1"/>
        <v>23</v>
      </c>
      <c r="B28" s="409" t="str">
        <f>IF(名簿ﾘｽﾄ!D27="","",名簿ﾘｽﾄ!D27)</f>
        <v>近藤静</v>
      </c>
      <c r="C28" s="409" t="str">
        <f>IF(名簿ﾘｽﾄ!E27="","",名簿ﾘｽﾄ!E27)</f>
        <v>近藤　静雄</v>
      </c>
      <c r="D28" s="409" t="str">
        <f>IF(名簿ﾘｽﾄ!F27="","",名簿ﾘｽﾄ!F27)</f>
        <v>コンドウ　シズオ</v>
      </c>
      <c r="E28" s="409">
        <f>IF(名簿ﾘｽﾄ!G27="","",名簿ﾘｽﾄ!G27)</f>
        <v>18502</v>
      </c>
      <c r="F28" s="117">
        <f>名簿ﾘｽﾄ!H27</f>
        <v>26931</v>
      </c>
      <c r="G28" s="119"/>
      <c r="H28" s="118">
        <f>シート②組合せ表!H36</f>
        <v>0</v>
      </c>
      <c r="I28" s="125" t="str">
        <f>IF(シート④スコア記入依頼用紙!O74="","",シート④スコア記入依頼用紙!O74)</f>
        <v/>
      </c>
      <c r="J28" s="114"/>
      <c r="K28" s="114"/>
      <c r="L28" s="126">
        <v>24</v>
      </c>
      <c r="M28" s="116" t="str">
        <f t="shared" si="0"/>
        <v>近藤裕</v>
      </c>
      <c r="N28" s="127" t="str">
        <f>IF(IFERROR(VLOOKUP(M28,集計!$H$5:$I$44,2,FALSE),"")=0,"",IFERROR(VLOOKUP(M28,集計!$H$5:$I$44,2,FALSE),""))</f>
        <v/>
      </c>
      <c r="P28" s="130"/>
      <c r="Q28" s="15"/>
    </row>
    <row r="29" spans="1:17" x14ac:dyDescent="0.15">
      <c r="A29" s="126">
        <f t="shared" si="1"/>
        <v>24</v>
      </c>
      <c r="B29" s="409" t="str">
        <f>IF(名簿ﾘｽﾄ!D28="","",名簿ﾘｽﾄ!D28)</f>
        <v>近藤裕</v>
      </c>
      <c r="C29" s="409" t="str">
        <f>IF(名簿ﾘｽﾄ!E28="","",名簿ﾘｽﾄ!E28)</f>
        <v>近藤　裕之</v>
      </c>
      <c r="D29" s="409" t="str">
        <f>IF(名簿ﾘｽﾄ!F28="","",名簿ﾘｽﾄ!F28)</f>
        <v>コンドウ　ヒロユキ</v>
      </c>
      <c r="E29" s="409">
        <f>IF(名簿ﾘｽﾄ!G28="","",名簿ﾘｽﾄ!G28)</f>
        <v>16849</v>
      </c>
      <c r="F29" s="117">
        <f>名簿ﾘｽﾄ!H28</f>
        <v>28584</v>
      </c>
      <c r="G29" s="119"/>
      <c r="H29" s="118">
        <f>シート②組合せ表!E37</f>
        <v>0</v>
      </c>
      <c r="I29" s="125" t="str">
        <f>IF(シート④スコア記入依頼用紙!O75="","",シート④スコア記入依頼用紙!O75)</f>
        <v/>
      </c>
      <c r="J29" s="114"/>
      <c r="K29" s="114"/>
      <c r="L29" s="126">
        <v>25</v>
      </c>
      <c r="M29" s="116" t="str">
        <f t="shared" si="0"/>
        <v>坂本</v>
      </c>
      <c r="N29" s="127" t="str">
        <f>IF(IFERROR(VLOOKUP(M29,集計!$H$5:$I$44,2,FALSE),"")=0,"",IFERROR(VLOOKUP(M29,集計!$H$5:$I$44,2,FALSE),""))</f>
        <v/>
      </c>
      <c r="P29" s="130"/>
      <c r="Q29" s="15"/>
    </row>
    <row r="30" spans="1:17" x14ac:dyDescent="0.15">
      <c r="A30" s="126">
        <f t="shared" si="1"/>
        <v>25</v>
      </c>
      <c r="B30" s="409" t="str">
        <f>IF(名簿ﾘｽﾄ!D29="","",名簿ﾘｽﾄ!D29)</f>
        <v>坂本</v>
      </c>
      <c r="C30" s="409" t="str">
        <f>IF(名簿ﾘｽﾄ!E29="","",名簿ﾘｽﾄ!E29)</f>
        <v>坂本　眞</v>
      </c>
      <c r="D30" s="409" t="str">
        <f>IF(名簿ﾘｽﾄ!F29="","",名簿ﾘｽﾄ!F29)</f>
        <v>サカモト　マコト</v>
      </c>
      <c r="E30" s="409">
        <f>IF(名簿ﾘｽﾄ!G29="","",名簿ﾘｽﾄ!G29)</f>
        <v>14877</v>
      </c>
      <c r="F30" s="117">
        <f>名簿ﾘｽﾄ!H29</f>
        <v>30556</v>
      </c>
      <c r="G30" s="119"/>
      <c r="H30" s="118">
        <f>シート②組合せ表!F37</f>
        <v>0</v>
      </c>
      <c r="I30" s="125" t="str">
        <f>IF(シート④スコア記入依頼用紙!O76="","",シート④スコア記入依頼用紙!O76)</f>
        <v/>
      </c>
      <c r="J30" s="114"/>
      <c r="K30" s="114"/>
      <c r="L30" s="126">
        <v>26</v>
      </c>
      <c r="M30" s="116" t="str">
        <f t="shared" si="0"/>
        <v>佐藤清</v>
      </c>
      <c r="N30" s="127" t="str">
        <f>IF(IFERROR(VLOOKUP(M30,集計!$H$5:$I$44,2,FALSE),"")=0,"",IFERROR(VLOOKUP(M30,集計!$H$5:$I$44,2,FALSE),""))</f>
        <v/>
      </c>
      <c r="P30" s="130"/>
      <c r="Q30" s="15"/>
    </row>
    <row r="31" spans="1:17" x14ac:dyDescent="0.15">
      <c r="A31" s="126">
        <f t="shared" si="1"/>
        <v>26</v>
      </c>
      <c r="B31" s="409" t="str">
        <f>IF(名簿ﾘｽﾄ!D30="","",名簿ﾘｽﾄ!D30)</f>
        <v>佐藤清</v>
      </c>
      <c r="C31" s="409" t="str">
        <f>IF(名簿ﾘｽﾄ!E30="","",名簿ﾘｽﾄ!E30)</f>
        <v>佐藤　清仁</v>
      </c>
      <c r="D31" s="409" t="str">
        <f>IF(名簿ﾘｽﾄ!F30="","",名簿ﾘｽﾄ!F30)</f>
        <v>サトウ　キヨヒト</v>
      </c>
      <c r="E31" s="409">
        <f>IF(名簿ﾘｽﾄ!G30="","",名簿ﾘｽﾄ!G30)</f>
        <v>19374</v>
      </c>
      <c r="F31" s="117">
        <f>名簿ﾘｽﾄ!H30</f>
        <v>26059</v>
      </c>
      <c r="G31" s="119"/>
      <c r="H31" s="118">
        <f>シート②組合せ表!G37</f>
        <v>0</v>
      </c>
      <c r="I31" s="125" t="str">
        <f>IF(シート④スコア記入依頼用紙!O77="","",シート④スコア記入依頼用紙!O77)</f>
        <v/>
      </c>
      <c r="J31" s="114"/>
      <c r="K31" s="114"/>
      <c r="L31" s="126">
        <v>27</v>
      </c>
      <c r="M31" s="116" t="str">
        <f t="shared" si="0"/>
        <v>里中</v>
      </c>
      <c r="N31" s="127" t="str">
        <f>IF(IFERROR(VLOOKUP(M31,集計!$H$5:$I$44,2,FALSE),"")=0,"",IFERROR(VLOOKUP(M31,集計!$H$5:$I$44,2,FALSE),""))</f>
        <v/>
      </c>
      <c r="P31" s="130"/>
      <c r="Q31" s="15"/>
    </row>
    <row r="32" spans="1:17" x14ac:dyDescent="0.15">
      <c r="A32" s="126">
        <f t="shared" si="1"/>
        <v>27</v>
      </c>
      <c r="B32" s="409" t="str">
        <f>IF(名簿ﾘｽﾄ!D31="","",名簿ﾘｽﾄ!D31)</f>
        <v>里中</v>
      </c>
      <c r="C32" s="409" t="str">
        <f>IF(名簿ﾘｽﾄ!E31="","",名簿ﾘｽﾄ!E31)</f>
        <v>里中　孝一郎</v>
      </c>
      <c r="D32" s="409" t="str">
        <f>IF(名簿ﾘｽﾄ!F31="","",名簿ﾘｽﾄ!F31)</f>
        <v>サトナカ　コウイチロウ</v>
      </c>
      <c r="E32" s="409">
        <f>IF(名簿ﾘｽﾄ!G31="","",名簿ﾘｽﾄ!G31)</f>
        <v>18664</v>
      </c>
      <c r="F32" s="117">
        <f>名簿ﾘｽﾄ!H31</f>
        <v>26769</v>
      </c>
      <c r="G32" s="119"/>
      <c r="H32" s="118">
        <f>シート②組合せ表!H37</f>
        <v>0</v>
      </c>
      <c r="I32" s="125" t="str">
        <f>IF(シート④スコア記入依頼用紙!O78="","",シート④スコア記入依頼用紙!O78)</f>
        <v/>
      </c>
      <c r="J32" s="114"/>
      <c r="K32" s="114"/>
      <c r="L32" s="126">
        <f>1+L31</f>
        <v>28</v>
      </c>
      <c r="M32" s="116" t="str">
        <f t="shared" si="0"/>
        <v>佐土原</v>
      </c>
      <c r="N32" s="127" t="str">
        <f>IF(IFERROR(VLOOKUP(M32,集計!$H$5:$I$44,2,FALSE),"")=0,"",IFERROR(VLOOKUP(M32,集計!$H$5:$I$44,2,FALSE),""))</f>
        <v/>
      </c>
      <c r="P32" s="130"/>
      <c r="Q32" s="15"/>
    </row>
    <row r="33" spans="1:17" x14ac:dyDescent="0.15">
      <c r="A33" s="126">
        <f t="shared" si="1"/>
        <v>28</v>
      </c>
      <c r="B33" s="409" t="str">
        <f>IF(名簿ﾘｽﾄ!D32="","",名簿ﾘｽﾄ!D32)</f>
        <v>佐土原</v>
      </c>
      <c r="C33" s="409" t="str">
        <f>IF(名簿ﾘｽﾄ!E32="","",名簿ﾘｽﾄ!E32)</f>
        <v>佐土原　寛</v>
      </c>
      <c r="D33" s="409" t="str">
        <f>IF(名簿ﾘｽﾄ!F32="","",名簿ﾘｽﾄ!F32)</f>
        <v>サドハラ　ヒロシ</v>
      </c>
      <c r="E33" s="409">
        <f>IF(名簿ﾘｽﾄ!G32="","",名簿ﾘｽﾄ!G32)</f>
        <v>18688</v>
      </c>
      <c r="F33" s="117">
        <f>名簿ﾘｽﾄ!H32</f>
        <v>26745</v>
      </c>
      <c r="G33" s="119"/>
      <c r="H33" s="118">
        <f>シート②組合せ表!E38</f>
        <v>0</v>
      </c>
      <c r="I33" s="125" t="str">
        <f>IF(シート④スコア記入依頼用紙!O79="","",シート④スコア記入依頼用紙!O79)</f>
        <v/>
      </c>
      <c r="J33" s="114"/>
      <c r="K33" s="114"/>
      <c r="L33" s="126">
        <f t="shared" ref="L33:L59" si="2">1+L32</f>
        <v>29</v>
      </c>
      <c r="M33" s="116" t="str">
        <f t="shared" si="0"/>
        <v>塩崎</v>
      </c>
      <c r="N33" s="127" t="str">
        <f>IF(IFERROR(VLOOKUP(M33,集計!$H$5:$I$44,2,FALSE),"")=0,"",IFERROR(VLOOKUP(M33,集計!$H$5:$I$44,2,FALSE),""))</f>
        <v/>
      </c>
      <c r="P33" s="130"/>
      <c r="Q33" s="15"/>
    </row>
    <row r="34" spans="1:17" x14ac:dyDescent="0.15">
      <c r="A34" s="126">
        <f t="shared" si="1"/>
        <v>29</v>
      </c>
      <c r="B34" s="409" t="str">
        <f>IF(名簿ﾘｽﾄ!D33="","",名簿ﾘｽﾄ!D33)</f>
        <v>塩崎</v>
      </c>
      <c r="C34" s="409" t="str">
        <f>IF(名簿ﾘｽﾄ!E33="","",名簿ﾘｽﾄ!E33)</f>
        <v>塩崎　芳郎</v>
      </c>
      <c r="D34" s="409" t="str">
        <f>IF(名簿ﾘｽﾄ!F33="","",名簿ﾘｽﾄ!F33)</f>
        <v>シオザキ　ヨシロウ</v>
      </c>
      <c r="E34" s="409">
        <f>IF(名簿ﾘｽﾄ!G33="","",名簿ﾘｽﾄ!G33)</f>
        <v>20268</v>
      </c>
      <c r="F34" s="117">
        <f>名簿ﾘｽﾄ!H33</f>
        <v>25165</v>
      </c>
      <c r="G34" s="119"/>
      <c r="H34" s="118">
        <f>シート②組合せ表!F38</f>
        <v>0</v>
      </c>
      <c r="I34" s="125" t="str">
        <f>IF(シート④スコア記入依頼用紙!O80="","",シート④スコア記入依頼用紙!O80)</f>
        <v/>
      </c>
      <c r="J34" s="114"/>
      <c r="K34" s="114"/>
      <c r="L34" s="126">
        <f t="shared" si="2"/>
        <v>30</v>
      </c>
      <c r="M34" s="116" t="str">
        <f t="shared" si="0"/>
        <v>鈴木</v>
      </c>
      <c r="N34" s="127" t="str">
        <f>IF(IFERROR(VLOOKUP(M34,集計!$H$5:$I$44,2,FALSE),"")=0,"",IFERROR(VLOOKUP(M34,集計!$H$5:$I$44,2,FALSE),""))</f>
        <v/>
      </c>
      <c r="P34" s="130"/>
      <c r="Q34" s="15"/>
    </row>
    <row r="35" spans="1:17" x14ac:dyDescent="0.15">
      <c r="A35" s="126">
        <f t="shared" si="1"/>
        <v>30</v>
      </c>
      <c r="B35" s="409" t="str">
        <f>IF(名簿ﾘｽﾄ!D34="","",名簿ﾘｽﾄ!D34)</f>
        <v>鈴木</v>
      </c>
      <c r="C35" s="409" t="str">
        <f>IF(名簿ﾘｽﾄ!E34="","",名簿ﾘｽﾄ!E34)</f>
        <v>鈴木 優</v>
      </c>
      <c r="D35" s="409" t="str">
        <f>IF(名簿ﾘｽﾄ!F34="","",名簿ﾘｽﾄ!F34)</f>
        <v>スズキ　マサル</v>
      </c>
      <c r="E35" s="409">
        <f>IF(名簿ﾘｽﾄ!G34="","",名簿ﾘｽﾄ!G34)</f>
        <v>16941</v>
      </c>
      <c r="F35" s="117">
        <f>名簿ﾘｽﾄ!H34</f>
        <v>28492</v>
      </c>
      <c r="G35" s="119"/>
      <c r="H35" s="118">
        <f>シート②組合せ表!G38</f>
        <v>0</v>
      </c>
      <c r="I35" s="125" t="str">
        <f>IF(シート④スコア記入依頼用紙!O81="","",シート④スコア記入依頼用紙!O81)</f>
        <v/>
      </c>
      <c r="J35" s="114"/>
      <c r="K35" s="114"/>
      <c r="L35" s="126">
        <f t="shared" si="2"/>
        <v>31</v>
      </c>
      <c r="M35" s="116" t="str">
        <f t="shared" si="0"/>
        <v>高木</v>
      </c>
      <c r="N35" s="127" t="str">
        <f>IF(IFERROR(VLOOKUP(M35,集計!$H$5:$I$44,2,FALSE),"")=0,"",IFERROR(VLOOKUP(M35,集計!$H$5:$I$44,2,FALSE),""))</f>
        <v/>
      </c>
      <c r="P35" s="130"/>
      <c r="Q35" s="15"/>
    </row>
    <row r="36" spans="1:17" x14ac:dyDescent="0.15">
      <c r="A36" s="126">
        <f t="shared" si="1"/>
        <v>31</v>
      </c>
      <c r="B36" s="409" t="str">
        <f>IF(名簿ﾘｽﾄ!D35="","",名簿ﾘｽﾄ!D35)</f>
        <v>高木</v>
      </c>
      <c r="C36" s="409" t="str">
        <f>IF(名簿ﾘｽﾄ!E35="","",名簿ﾘｽﾄ!E35)</f>
        <v>高木 芳廣</v>
      </c>
      <c r="D36" s="409" t="str">
        <f>IF(名簿ﾘｽﾄ!F35="","",名簿ﾘｽﾄ!F35)</f>
        <v>タカギ　ヨシヒロ</v>
      </c>
      <c r="E36" s="409">
        <f>IF(名簿ﾘｽﾄ!G35="","",名簿ﾘｽﾄ!G35)</f>
        <v>19361</v>
      </c>
      <c r="F36" s="117">
        <f>名簿ﾘｽﾄ!H35</f>
        <v>26072</v>
      </c>
      <c r="G36" s="119"/>
      <c r="H36" s="118">
        <f>シート②組合せ表!H38</f>
        <v>0</v>
      </c>
      <c r="I36" s="125" t="str">
        <f>IF(シート④スコア記入依頼用紙!O82="","",シート④スコア記入依頼用紙!O82)</f>
        <v/>
      </c>
      <c r="J36" s="114"/>
      <c r="K36" s="114"/>
      <c r="L36" s="126">
        <f t="shared" si="2"/>
        <v>32</v>
      </c>
      <c r="M36" s="116" t="str">
        <f t="shared" si="0"/>
        <v>田中</v>
      </c>
      <c r="N36" s="127" t="str">
        <f>IF(IFERROR(VLOOKUP(M36,集計!$H$5:$I$44,2,FALSE),"")=0,"",IFERROR(VLOOKUP(M36,集計!$H$5:$I$44,2,FALSE),""))</f>
        <v/>
      </c>
      <c r="P36" s="130"/>
      <c r="Q36" s="15"/>
    </row>
    <row r="37" spans="1:17" x14ac:dyDescent="0.15">
      <c r="A37" s="126">
        <f t="shared" si="1"/>
        <v>32</v>
      </c>
      <c r="B37" s="409" t="str">
        <f>IF(名簿ﾘｽﾄ!D36="","",名簿ﾘｽﾄ!D36)</f>
        <v>田中</v>
      </c>
      <c r="C37" s="409" t="str">
        <f>IF(名簿ﾘｽﾄ!E36="","",名簿ﾘｽﾄ!E36)</f>
        <v>田中　光助</v>
      </c>
      <c r="D37" s="409" t="str">
        <f>IF(名簿ﾘｽﾄ!F36="","",名簿ﾘｽﾄ!F36)</f>
        <v>タナカ　コウスケ</v>
      </c>
      <c r="E37" s="409">
        <f>IF(名簿ﾘｽﾄ!G36="","",名簿ﾘｽﾄ!G36)</f>
        <v>18549</v>
      </c>
      <c r="F37" s="117">
        <f>名簿ﾘｽﾄ!H36</f>
        <v>26884</v>
      </c>
      <c r="G37" s="119"/>
      <c r="H37" s="118">
        <f>シート②組合せ表!E39</f>
        <v>0</v>
      </c>
      <c r="I37" s="125" t="str">
        <f>IF(シート④スコア記入依頼用紙!O83="","",シート④スコア記入依頼用紙!O83)</f>
        <v/>
      </c>
      <c r="J37" s="114"/>
      <c r="K37" s="114"/>
      <c r="L37" s="126">
        <f t="shared" si="2"/>
        <v>33</v>
      </c>
      <c r="M37" s="116" t="str">
        <f t="shared" ref="M37:M69" si="3">B38</f>
        <v>塚越</v>
      </c>
      <c r="N37" s="127" t="str">
        <f>IF(IFERROR(VLOOKUP(M37,集計!$H$5:$I$44,2,FALSE),"")=0,"",IFERROR(VLOOKUP(M37,集計!$H$5:$I$44,2,FALSE),""))</f>
        <v/>
      </c>
      <c r="P37" s="130"/>
      <c r="Q37" s="15"/>
    </row>
    <row r="38" spans="1:17" x14ac:dyDescent="0.15">
      <c r="A38" s="126">
        <f t="shared" si="1"/>
        <v>33</v>
      </c>
      <c r="B38" s="409" t="str">
        <f>IF(名簿ﾘｽﾄ!D37="","",名簿ﾘｽﾄ!D37)</f>
        <v>塚越</v>
      </c>
      <c r="C38" s="409" t="str">
        <f>IF(名簿ﾘｽﾄ!E37="","",名簿ﾘｽﾄ!E37)</f>
        <v>塚越　良也</v>
      </c>
      <c r="D38" s="409" t="str">
        <f>IF(名簿ﾘｽﾄ!F37="","",名簿ﾘｽﾄ!F37)</f>
        <v>ツカゴシ　ヨシナリ</v>
      </c>
      <c r="E38" s="409">
        <f>IF(名簿ﾘｽﾄ!G37="","",名簿ﾘｽﾄ!G37)</f>
        <v>16838</v>
      </c>
      <c r="F38" s="117">
        <f>名簿ﾘｽﾄ!H37</f>
        <v>28595</v>
      </c>
      <c r="G38" s="119"/>
      <c r="H38" s="118">
        <f>シート②組合せ表!F39</f>
        <v>0</v>
      </c>
      <c r="I38" s="125" t="str">
        <f>IF(シート④スコア記入依頼用紙!O84="","",シート④スコア記入依頼用紙!O84)</f>
        <v/>
      </c>
      <c r="J38" s="114"/>
      <c r="K38" s="114"/>
      <c r="L38" s="126">
        <f t="shared" si="2"/>
        <v>34</v>
      </c>
      <c r="M38" s="116" t="str">
        <f t="shared" si="3"/>
        <v>次橋</v>
      </c>
      <c r="N38" s="127" t="str">
        <f>IF(IFERROR(VLOOKUP(M38,集計!$H$5:$I$44,2,FALSE),"")=0,"",IFERROR(VLOOKUP(M38,集計!$H$5:$I$44,2,FALSE),""))</f>
        <v/>
      </c>
      <c r="P38" s="130"/>
      <c r="Q38" s="15"/>
    </row>
    <row r="39" spans="1:17" x14ac:dyDescent="0.15">
      <c r="A39" s="126">
        <f t="shared" si="1"/>
        <v>34</v>
      </c>
      <c r="B39" s="409" t="str">
        <f>IF(名簿ﾘｽﾄ!D38="","",名簿ﾘｽﾄ!D38)</f>
        <v>次橋</v>
      </c>
      <c r="C39" s="409" t="str">
        <f>IF(名簿ﾘｽﾄ!E38="","",名簿ﾘｽﾄ!E38)</f>
        <v>次橋　一</v>
      </c>
      <c r="D39" s="409" t="str">
        <f>IF(名簿ﾘｽﾄ!F38="","",名簿ﾘｽﾄ!F38)</f>
        <v>ツギハシ　ハジメ</v>
      </c>
      <c r="E39" s="409">
        <f>IF(名簿ﾘｽﾄ!G38="","",名簿ﾘｽﾄ!G38)</f>
        <v>17118</v>
      </c>
      <c r="F39" s="117">
        <f>名簿ﾘｽﾄ!H38</f>
        <v>28315</v>
      </c>
      <c r="G39" s="119"/>
      <c r="H39" s="118">
        <f>シート②組合せ表!G39</f>
        <v>0</v>
      </c>
      <c r="I39" s="125" t="str">
        <f>IF(シート④スコア記入依頼用紙!O85="","",シート④スコア記入依頼用紙!O85)</f>
        <v/>
      </c>
      <c r="J39" s="114"/>
      <c r="K39" s="114"/>
      <c r="L39" s="126">
        <f t="shared" si="2"/>
        <v>35</v>
      </c>
      <c r="M39" s="116" t="str">
        <f t="shared" si="3"/>
        <v>坪原</v>
      </c>
      <c r="N39" s="127" t="str">
        <f>IF(IFERROR(VLOOKUP(M39,集計!$H$5:$I$44,2,FALSE),"")=0,"",IFERROR(VLOOKUP(M39,集計!$H$5:$I$44,2,FALSE),""))</f>
        <v/>
      </c>
      <c r="P39" s="130"/>
      <c r="Q39" s="15"/>
    </row>
    <row r="40" spans="1:17" x14ac:dyDescent="0.15">
      <c r="A40" s="126">
        <f t="shared" si="1"/>
        <v>35</v>
      </c>
      <c r="B40" s="409" t="str">
        <f>IF(名簿ﾘｽﾄ!D39="","",名簿ﾘｽﾄ!D39)</f>
        <v>坪原</v>
      </c>
      <c r="C40" s="409" t="str">
        <f>IF(名簿ﾘｽﾄ!E39="","",名簿ﾘｽﾄ!E39)</f>
        <v>坪原　功典</v>
      </c>
      <c r="D40" s="409" t="str">
        <f>IF(名簿ﾘｽﾄ!F39="","",名簿ﾘｽﾄ!F39)</f>
        <v>ツボハラ　ヨシノリ</v>
      </c>
      <c r="E40" s="409">
        <f>IF(名簿ﾘｽﾄ!G39="","",名簿ﾘｽﾄ!G39)</f>
        <v>17787</v>
      </c>
      <c r="F40" s="117">
        <f>名簿ﾘｽﾄ!H39</f>
        <v>27646</v>
      </c>
      <c r="G40" s="119"/>
      <c r="H40" s="118">
        <f>シート②組合せ表!H39</f>
        <v>0</v>
      </c>
      <c r="I40" s="125" t="str">
        <f>IF(シート④スコア記入依頼用紙!O86="","",シート④スコア記入依頼用紙!O86)</f>
        <v/>
      </c>
      <c r="J40" s="114"/>
      <c r="K40" s="114"/>
      <c r="L40" s="126">
        <f t="shared" si="2"/>
        <v>36</v>
      </c>
      <c r="M40" s="116" t="str">
        <f t="shared" si="3"/>
        <v>豊島</v>
      </c>
      <c r="N40" s="127" t="str">
        <f>IF(IFERROR(VLOOKUP(M40,集計!$H$5:$I$44,2,FALSE),"")=0,"",IFERROR(VLOOKUP(M40,集計!$H$5:$I$44,2,FALSE),""))</f>
        <v/>
      </c>
      <c r="P40" s="130"/>
      <c r="Q40" s="15"/>
    </row>
    <row r="41" spans="1:17" x14ac:dyDescent="0.15">
      <c r="A41" s="126">
        <f t="shared" si="1"/>
        <v>36</v>
      </c>
      <c r="B41" s="409" t="str">
        <f>IF(名簿ﾘｽﾄ!D40="","",名簿ﾘｽﾄ!D40)</f>
        <v>豊島</v>
      </c>
      <c r="C41" s="409" t="str">
        <f>IF(名簿ﾘｽﾄ!E40="","",名簿ﾘｽﾄ!E40)</f>
        <v>豊島　好美</v>
      </c>
      <c r="D41" s="409" t="str">
        <f>IF(名簿ﾘｽﾄ!F40="","",名簿ﾘｽﾄ!F40)</f>
        <v>トヨシマ　ヨシミ</v>
      </c>
      <c r="E41" s="409" t="str">
        <f>IF(名簿ﾘｽﾄ!G40="","",名簿ﾘｽﾄ!G40)</f>
        <v/>
      </c>
      <c r="F41" s="117">
        <f>名簿ﾘｽﾄ!H40</f>
        <v>45433</v>
      </c>
      <c r="G41" s="119"/>
      <c r="H41" s="118">
        <f>シート②組合せ表!E40</f>
        <v>0</v>
      </c>
      <c r="I41" s="125" t="str">
        <f>IF(シート④スコア記入依頼用紙!O87="","",シート④スコア記入依頼用紙!O87)</f>
        <v/>
      </c>
      <c r="J41" s="114"/>
      <c r="K41" s="114"/>
      <c r="L41" s="126">
        <f t="shared" si="2"/>
        <v>37</v>
      </c>
      <c r="M41" s="116" t="str">
        <f t="shared" si="3"/>
        <v>中川</v>
      </c>
      <c r="N41" s="127" t="str">
        <f>IF(IFERROR(VLOOKUP(M41,集計!$H$5:$I$44,2,FALSE),"")=0,"",IFERROR(VLOOKUP(M41,集計!$H$5:$I$44,2,FALSE),""))</f>
        <v/>
      </c>
      <c r="P41" s="130"/>
      <c r="Q41" s="15"/>
    </row>
    <row r="42" spans="1:17" x14ac:dyDescent="0.15">
      <c r="A42" s="126">
        <f t="shared" si="1"/>
        <v>37</v>
      </c>
      <c r="B42" s="409" t="str">
        <f>IF(名簿ﾘｽﾄ!D41="","",名簿ﾘｽﾄ!D41)</f>
        <v>中川</v>
      </c>
      <c r="C42" s="409" t="str">
        <f>IF(名簿ﾘｽﾄ!E41="","",名簿ﾘｽﾄ!E41)</f>
        <v>中川　英二</v>
      </c>
      <c r="D42" s="409" t="str">
        <f>IF(名簿ﾘｽﾄ!F41="","",名簿ﾘｽﾄ!F41)</f>
        <v>ナカガワ　エイジ</v>
      </c>
      <c r="E42" s="409">
        <f>IF(名簿ﾘｽﾄ!G41="","",名簿ﾘｽﾄ!G41)</f>
        <v>18170</v>
      </c>
      <c r="F42" s="117">
        <f>名簿ﾘｽﾄ!H41</f>
        <v>27263</v>
      </c>
      <c r="G42" s="119"/>
      <c r="H42" s="118">
        <f>シート②組合せ表!F40</f>
        <v>0</v>
      </c>
      <c r="I42" s="125" t="str">
        <f>IF(シート④スコア記入依頼用紙!O88="","",シート④スコア記入依頼用紙!O88)</f>
        <v/>
      </c>
      <c r="J42" s="114"/>
      <c r="K42" s="114"/>
      <c r="L42" s="126">
        <f t="shared" si="2"/>
        <v>38</v>
      </c>
      <c r="M42" s="116" t="str">
        <f t="shared" si="3"/>
        <v>中山</v>
      </c>
      <c r="N42" s="127" t="str">
        <f>IF(IFERROR(VLOOKUP(M42,集計!$H$5:$I$44,2,FALSE),"")=0,"",IFERROR(VLOOKUP(M42,集計!$H$5:$I$44,2,FALSE),""))</f>
        <v/>
      </c>
      <c r="P42" s="130"/>
      <c r="Q42" s="15"/>
    </row>
    <row r="43" spans="1:17" x14ac:dyDescent="0.15">
      <c r="A43" s="126">
        <f t="shared" si="1"/>
        <v>38</v>
      </c>
      <c r="B43" s="409" t="str">
        <f>IF(名簿ﾘｽﾄ!D42="","",名簿ﾘｽﾄ!D42)</f>
        <v>中山</v>
      </c>
      <c r="C43" s="409" t="str">
        <f>IF(名簿ﾘｽﾄ!E42="","",名簿ﾘｽﾄ!E42)</f>
        <v>中山　正光</v>
      </c>
      <c r="D43" s="409" t="str">
        <f>IF(名簿ﾘｽﾄ!F42="","",名簿ﾘｽﾄ!F42)</f>
        <v>ナカヤマ　マサミツ</v>
      </c>
      <c r="E43" s="409">
        <f>IF(名簿ﾘｽﾄ!G42="","",名簿ﾘｽﾄ!G42)</f>
        <v>17774</v>
      </c>
      <c r="F43" s="117">
        <f>名簿ﾘｽﾄ!H42</f>
        <v>27659</v>
      </c>
      <c r="G43" s="119"/>
      <c r="H43" s="118">
        <f>シート②組合せ表!G40</f>
        <v>0</v>
      </c>
      <c r="I43" s="125" t="str">
        <f>IF(シート④スコア記入依頼用紙!O89="","",シート④スコア記入依頼用紙!O89)</f>
        <v/>
      </c>
      <c r="J43" s="114"/>
      <c r="K43" s="114"/>
      <c r="L43" s="126">
        <f t="shared" si="2"/>
        <v>39</v>
      </c>
      <c r="M43" s="116" t="str">
        <f t="shared" si="3"/>
        <v>林</v>
      </c>
      <c r="N43" s="127" t="str">
        <f>IF(IFERROR(VLOOKUP(M43,集計!$H$5:$I$44,2,FALSE),"")=0,"",IFERROR(VLOOKUP(M43,集計!$H$5:$I$44,2,FALSE),""))</f>
        <v/>
      </c>
      <c r="P43" s="130"/>
      <c r="Q43" s="15"/>
    </row>
    <row r="44" spans="1:17" x14ac:dyDescent="0.15">
      <c r="A44" s="126">
        <f t="shared" si="1"/>
        <v>39</v>
      </c>
      <c r="B44" s="409" t="str">
        <f>IF(名簿ﾘｽﾄ!D43="","",名簿ﾘｽﾄ!D43)</f>
        <v>林</v>
      </c>
      <c r="C44" s="409" t="str">
        <f>IF(名簿ﾘｽﾄ!E43="","",名簿ﾘｽﾄ!E43)</f>
        <v>林　昭二</v>
      </c>
      <c r="D44" s="409" t="str">
        <f>IF(名簿ﾘｽﾄ!F43="","",名簿ﾘｽﾄ!F43)</f>
        <v>ハヤシ　ショウジ</v>
      </c>
      <c r="E44" s="409">
        <f>IF(名簿ﾘｽﾄ!G43="","",名簿ﾘｽﾄ!G43)</f>
        <v>17073</v>
      </c>
      <c r="F44" s="117">
        <f>名簿ﾘｽﾄ!H43</f>
        <v>28360</v>
      </c>
      <c r="G44" s="119"/>
      <c r="H44" s="118">
        <f>シート②組合せ表!H40</f>
        <v>0</v>
      </c>
      <c r="I44" s="125" t="str">
        <f>IF(シート④スコア記入依頼用紙!O90="","",シート④スコア記入依頼用紙!O90)</f>
        <v/>
      </c>
      <c r="J44" s="114"/>
      <c r="K44" s="114"/>
      <c r="L44" s="126">
        <f t="shared" si="2"/>
        <v>40</v>
      </c>
      <c r="M44" s="116" t="str">
        <f t="shared" si="3"/>
        <v>福山</v>
      </c>
      <c r="N44" s="127" t="str">
        <f>IF(IFERROR(VLOOKUP(M44,集計!$H$5:$I$44,2,FALSE),"")=0,"",IFERROR(VLOOKUP(M44,集計!$H$5:$I$44,2,FALSE),""))</f>
        <v/>
      </c>
      <c r="P44" s="130"/>
      <c r="Q44" s="15"/>
    </row>
    <row r="45" spans="1:17" x14ac:dyDescent="0.15">
      <c r="A45" s="126">
        <f t="shared" si="1"/>
        <v>40</v>
      </c>
      <c r="B45" s="409" t="str">
        <f>IF(名簿ﾘｽﾄ!D44="","",名簿ﾘｽﾄ!D44)</f>
        <v>福山</v>
      </c>
      <c r="C45" s="409" t="str">
        <f>IF(名簿ﾘｽﾄ!E44="","",名簿ﾘｽﾄ!E44)</f>
        <v>福山 正隆</v>
      </c>
      <c r="D45" s="409" t="str">
        <f>IF(名簿ﾘｽﾄ!F44="","",名簿ﾘｽﾄ!F44)</f>
        <v>フクヤマ　マサタカ</v>
      </c>
      <c r="E45" s="409">
        <f>IF(名簿ﾘｽﾄ!G44="","",名簿ﾘｽﾄ!G44)</f>
        <v>15363</v>
      </c>
      <c r="F45" s="117">
        <f>名簿ﾘｽﾄ!H44</f>
        <v>30070</v>
      </c>
      <c r="G45" s="119"/>
      <c r="H45" s="114"/>
      <c r="I45" s="114"/>
      <c r="J45" s="114"/>
      <c r="K45" s="114"/>
      <c r="L45" s="126">
        <f t="shared" si="2"/>
        <v>41</v>
      </c>
      <c r="M45" s="116" t="str">
        <f t="shared" si="3"/>
        <v>藤田</v>
      </c>
      <c r="N45" s="127" t="str">
        <f>IF(IFERROR(VLOOKUP(M45,集計!$H$5:$I$44,2,FALSE),"")=0,"",IFERROR(VLOOKUP(M45,集計!$H$5:$I$44,2,FALSE),""))</f>
        <v/>
      </c>
      <c r="P45" s="130"/>
      <c r="Q45" s="15"/>
    </row>
    <row r="46" spans="1:17" x14ac:dyDescent="0.15">
      <c r="A46" s="126">
        <f t="shared" si="1"/>
        <v>41</v>
      </c>
      <c r="B46" s="409" t="str">
        <f>IF(名簿ﾘｽﾄ!D45="","",名簿ﾘｽﾄ!D45)</f>
        <v>藤田</v>
      </c>
      <c r="C46" s="409" t="str">
        <f>IF(名簿ﾘｽﾄ!E45="","",名簿ﾘｽﾄ!E45)</f>
        <v>藤田　真</v>
      </c>
      <c r="D46" s="409" t="str">
        <f>IF(名簿ﾘｽﾄ!F45="","",名簿ﾘｽﾄ!F45)</f>
        <v>フジタ　マコト</v>
      </c>
      <c r="E46" s="409">
        <f>IF(名簿ﾘｽﾄ!G45="","",名簿ﾘｽﾄ!G45)</f>
        <v>19294</v>
      </c>
      <c r="F46" s="117">
        <f>名簿ﾘｽﾄ!H45</f>
        <v>26139</v>
      </c>
      <c r="G46" s="119"/>
      <c r="H46" s="114"/>
      <c r="I46" s="114"/>
      <c r="J46" s="114"/>
      <c r="K46" s="114"/>
      <c r="L46" s="126">
        <f t="shared" si="2"/>
        <v>42</v>
      </c>
      <c r="M46" s="116" t="str">
        <f t="shared" si="3"/>
        <v>古海</v>
      </c>
      <c r="N46" s="127" t="str">
        <f>IF(IFERROR(VLOOKUP(M46,集計!$H$5:$I$44,2,FALSE),"")=0,"",IFERROR(VLOOKUP(M46,集計!$H$5:$I$44,2,FALSE),""))</f>
        <v/>
      </c>
      <c r="P46" s="130"/>
      <c r="Q46" s="15"/>
    </row>
    <row r="47" spans="1:17" x14ac:dyDescent="0.15">
      <c r="A47" s="126">
        <f t="shared" si="1"/>
        <v>42</v>
      </c>
      <c r="B47" s="409" t="str">
        <f>IF(名簿ﾘｽﾄ!D46="","",名簿ﾘｽﾄ!D46)</f>
        <v>古海</v>
      </c>
      <c r="C47" s="409" t="str">
        <f>IF(名簿ﾘｽﾄ!E46="","",名簿ﾘｽﾄ!E46)</f>
        <v>古海 正友</v>
      </c>
      <c r="D47" s="409" t="str">
        <f>IF(名簿ﾘｽﾄ!F46="","",名簿ﾘｽﾄ!F46)</f>
        <v>フルミ　マサトモ</v>
      </c>
      <c r="E47" s="409">
        <f>IF(名簿ﾘｽﾄ!G46="","",名簿ﾘｽﾄ!G46)</f>
        <v>17418</v>
      </c>
      <c r="F47" s="117">
        <f>名簿ﾘｽﾄ!H46</f>
        <v>28015</v>
      </c>
      <c r="G47" s="119"/>
      <c r="H47" s="114"/>
      <c r="I47" s="114"/>
      <c r="J47" s="114"/>
      <c r="K47" s="114"/>
      <c r="L47" s="126">
        <f t="shared" si="2"/>
        <v>43</v>
      </c>
      <c r="M47" s="116" t="str">
        <f t="shared" si="3"/>
        <v>松岡</v>
      </c>
      <c r="N47" s="127" t="str">
        <f>IF(IFERROR(VLOOKUP(M47,集計!$H$5:$I$44,2,FALSE),"")=0,"",IFERROR(VLOOKUP(M47,集計!$H$5:$I$44,2,FALSE),""))</f>
        <v/>
      </c>
      <c r="P47" s="130"/>
      <c r="Q47" s="15"/>
    </row>
    <row r="48" spans="1:17" x14ac:dyDescent="0.15">
      <c r="A48" s="126">
        <f t="shared" si="1"/>
        <v>43</v>
      </c>
      <c r="B48" s="409" t="str">
        <f>IF(名簿ﾘｽﾄ!D47="","",名簿ﾘｽﾄ!D47)</f>
        <v>松岡</v>
      </c>
      <c r="C48" s="409" t="str">
        <f>IF(名簿ﾘｽﾄ!E47="","",名簿ﾘｽﾄ!E47)</f>
        <v>松岡　一彦</v>
      </c>
      <c r="D48" s="409" t="str">
        <f>IF(名簿ﾘｽﾄ!F47="","",名簿ﾘｽﾄ!F47)</f>
        <v>マツオカ　カズヒコ</v>
      </c>
      <c r="E48" s="409">
        <f>IF(名簿ﾘｽﾄ!G47="","",名簿ﾘｽﾄ!G47)</f>
        <v>19937</v>
      </c>
      <c r="F48" s="117">
        <f>名簿ﾘｽﾄ!H47</f>
        <v>25496</v>
      </c>
      <c r="G48" s="119"/>
      <c r="H48" s="114"/>
      <c r="I48" s="114"/>
      <c r="J48" s="114"/>
      <c r="K48" s="114"/>
      <c r="L48" s="126">
        <f t="shared" si="2"/>
        <v>44</v>
      </c>
      <c r="M48" s="116" t="str">
        <f t="shared" si="3"/>
        <v>豆田</v>
      </c>
      <c r="N48" s="127" t="str">
        <f>IF(IFERROR(VLOOKUP(M48,集計!$H$5:$I$44,2,FALSE),"")=0,"",IFERROR(VLOOKUP(M48,集計!$H$5:$I$44,2,FALSE),""))</f>
        <v/>
      </c>
      <c r="P48" s="130"/>
      <c r="Q48" s="15"/>
    </row>
    <row r="49" spans="1:17" x14ac:dyDescent="0.15">
      <c r="A49" s="126">
        <f t="shared" si="1"/>
        <v>44</v>
      </c>
      <c r="B49" s="409" t="str">
        <f>IF(名簿ﾘｽﾄ!D48="","",名簿ﾘｽﾄ!D48)</f>
        <v>豆田</v>
      </c>
      <c r="C49" s="409" t="str">
        <f>IF(名簿ﾘｽﾄ!E48="","",名簿ﾘｽﾄ!E48)</f>
        <v>豆田　順一</v>
      </c>
      <c r="D49" s="409" t="str">
        <f>IF(名簿ﾘｽﾄ!F48="","",名簿ﾘｽﾄ!F48)</f>
        <v>マメダ　ジュンイチ</v>
      </c>
      <c r="E49" s="409">
        <f>IF(名簿ﾘｽﾄ!G48="","",名簿ﾘｽﾄ!G48)</f>
        <v>17861</v>
      </c>
      <c r="F49" s="117">
        <f>名簿ﾘｽﾄ!H48</f>
        <v>27572</v>
      </c>
      <c r="G49" s="119"/>
      <c r="H49" s="114"/>
      <c r="I49" s="114"/>
      <c r="J49" s="114"/>
      <c r="K49" s="114"/>
      <c r="L49" s="126">
        <f t="shared" si="2"/>
        <v>45</v>
      </c>
      <c r="M49" s="116" t="str">
        <f t="shared" si="3"/>
        <v>三井</v>
      </c>
      <c r="N49" s="127" t="str">
        <f>IF(IFERROR(VLOOKUP(M49,集計!$H$5:$I$44,2,FALSE),"")=0,"",IFERROR(VLOOKUP(M49,集計!$H$5:$I$44,2,FALSE),""))</f>
        <v/>
      </c>
      <c r="P49" s="130"/>
      <c r="Q49" s="15"/>
    </row>
    <row r="50" spans="1:17" x14ac:dyDescent="0.15">
      <c r="A50" s="126">
        <f t="shared" si="1"/>
        <v>45</v>
      </c>
      <c r="B50" s="409" t="str">
        <f>IF(名簿ﾘｽﾄ!D49="","",名簿ﾘｽﾄ!D49)</f>
        <v>三井</v>
      </c>
      <c r="C50" s="409" t="str">
        <f>IF(名簿ﾘｽﾄ!E49="","",名簿ﾘｽﾄ!E49)</f>
        <v>三井　千大</v>
      </c>
      <c r="D50" s="409" t="str">
        <f>IF(名簿ﾘｽﾄ!F49="","",名簿ﾘｽﾄ!F49)</f>
        <v>ミツイ　チヒロ</v>
      </c>
      <c r="E50" s="409">
        <f>IF(名簿ﾘｽﾄ!G49="","",名簿ﾘｽﾄ!G49)</f>
        <v>14454</v>
      </c>
      <c r="F50" s="117">
        <f>名簿ﾘｽﾄ!H49</f>
        <v>30979</v>
      </c>
      <c r="G50" s="119"/>
      <c r="H50" s="114"/>
      <c r="I50" s="114"/>
      <c r="J50" s="114"/>
      <c r="K50" s="114"/>
      <c r="L50" s="126">
        <f t="shared" si="2"/>
        <v>46</v>
      </c>
      <c r="M50" s="116" t="str">
        <f t="shared" si="3"/>
        <v>南村</v>
      </c>
      <c r="N50" s="127" t="str">
        <f>IF(IFERROR(VLOOKUP(M50,集計!$H$5:$I$44,2,FALSE),"")=0,"",IFERROR(VLOOKUP(M50,集計!$H$5:$I$44,2,FALSE),""))</f>
        <v/>
      </c>
      <c r="P50" s="130"/>
      <c r="Q50" s="15"/>
    </row>
    <row r="51" spans="1:17" x14ac:dyDescent="0.15">
      <c r="A51" s="126">
        <f t="shared" si="1"/>
        <v>46</v>
      </c>
      <c r="B51" s="409" t="str">
        <f>IF(名簿ﾘｽﾄ!D50="","",名簿ﾘｽﾄ!D50)</f>
        <v>南村</v>
      </c>
      <c r="C51" s="409" t="str">
        <f>IF(名簿ﾘｽﾄ!E50="","",名簿ﾘｽﾄ!E50)</f>
        <v>南村　英二</v>
      </c>
      <c r="D51" s="409" t="str">
        <f>IF(名簿ﾘｽﾄ!F50="","",名簿ﾘｽﾄ!F50)</f>
        <v>ミナミムラ　エイジ　</v>
      </c>
      <c r="E51" s="409">
        <f>IF(名簿ﾘｽﾄ!G50="","",名簿ﾘｽﾄ!G50)</f>
        <v>18697</v>
      </c>
      <c r="F51" s="117">
        <f>名簿ﾘｽﾄ!H50</f>
        <v>26736</v>
      </c>
      <c r="G51" s="119"/>
      <c r="H51" s="114"/>
      <c r="I51" s="114"/>
      <c r="J51" s="114"/>
      <c r="K51" s="114"/>
      <c r="L51" s="126">
        <f t="shared" si="2"/>
        <v>47</v>
      </c>
      <c r="M51" s="116" t="str">
        <f t="shared" si="3"/>
        <v>宮田</v>
      </c>
      <c r="N51" s="127" t="str">
        <f>IF(IFERROR(VLOOKUP(M51,集計!$H$5:$I$44,2,FALSE),"")=0,"",IFERROR(VLOOKUP(M51,集計!$H$5:$I$44,2,FALSE),""))</f>
        <v/>
      </c>
      <c r="P51" s="130"/>
      <c r="Q51" s="15"/>
    </row>
    <row r="52" spans="1:17" x14ac:dyDescent="0.15">
      <c r="A52" s="126">
        <f t="shared" si="1"/>
        <v>47</v>
      </c>
      <c r="B52" s="409" t="str">
        <f>IF(名簿ﾘｽﾄ!D51="","",名簿ﾘｽﾄ!D51)</f>
        <v>宮田</v>
      </c>
      <c r="C52" s="409" t="str">
        <f>IF(名簿ﾘｽﾄ!E51="","",名簿ﾘｽﾄ!E51)</f>
        <v>宮田 祐二</v>
      </c>
      <c r="D52" s="409" t="str">
        <f>IF(名簿ﾘｽﾄ!F51="","",名簿ﾘｽﾄ!F51)</f>
        <v>ミヤタ　ユウジ</v>
      </c>
      <c r="E52" s="409">
        <f>IF(名簿ﾘｽﾄ!G51="","",名簿ﾘｽﾄ!G51)</f>
        <v>20515</v>
      </c>
      <c r="F52" s="117">
        <f>名簿ﾘｽﾄ!H51</f>
        <v>24918</v>
      </c>
      <c r="G52" s="119"/>
      <c r="H52" s="114"/>
      <c r="I52" s="114"/>
      <c r="J52" s="114"/>
      <c r="K52" s="114"/>
      <c r="L52" s="126">
        <f t="shared" si="2"/>
        <v>48</v>
      </c>
      <c r="M52" s="116" t="str">
        <f t="shared" si="3"/>
        <v>村上</v>
      </c>
      <c r="N52" s="127" t="str">
        <f>IF(IFERROR(VLOOKUP(M52,集計!$H$5:$I$44,2,FALSE),"")=0,"",IFERROR(VLOOKUP(M52,集計!$H$5:$I$44,2,FALSE),""))</f>
        <v/>
      </c>
      <c r="P52" s="130"/>
      <c r="Q52" s="15"/>
    </row>
    <row r="53" spans="1:17" x14ac:dyDescent="0.15">
      <c r="A53" s="126">
        <f t="shared" si="1"/>
        <v>48</v>
      </c>
      <c r="B53" s="409" t="str">
        <f>IF(名簿ﾘｽﾄ!D52="","",名簿ﾘｽﾄ!D52)</f>
        <v>村上</v>
      </c>
      <c r="C53" s="409" t="str">
        <f>IF(名簿ﾘｽﾄ!E52="","",名簿ﾘｽﾄ!E52)</f>
        <v>村上　明徳</v>
      </c>
      <c r="D53" s="409" t="str">
        <f>IF(名簿ﾘｽﾄ!F52="","",名簿ﾘｽﾄ!F52)</f>
        <v>ムラカミ　アキノリ</v>
      </c>
      <c r="E53" s="409">
        <f>IF(名簿ﾘｽﾄ!G52="","",名簿ﾘｽﾄ!G52)</f>
        <v>15790</v>
      </c>
      <c r="F53" s="117">
        <f>名簿ﾘｽﾄ!H52</f>
        <v>29643</v>
      </c>
      <c r="G53" s="119"/>
      <c r="H53" s="114"/>
      <c r="I53" s="114"/>
      <c r="J53" s="114"/>
      <c r="K53" s="114"/>
      <c r="L53" s="126">
        <f t="shared" si="2"/>
        <v>49</v>
      </c>
      <c r="M53" s="116" t="str">
        <f t="shared" si="3"/>
        <v>森</v>
      </c>
      <c r="N53" s="127" t="str">
        <f>IF(IFERROR(VLOOKUP(M53,集計!$H$5:$I$44,2,FALSE),"")=0,"",IFERROR(VLOOKUP(M53,集計!$H$5:$I$44,2,FALSE),""))</f>
        <v/>
      </c>
      <c r="P53" s="130"/>
      <c r="Q53" s="15"/>
    </row>
    <row r="54" spans="1:17" x14ac:dyDescent="0.15">
      <c r="A54" s="126">
        <f t="shared" si="1"/>
        <v>49</v>
      </c>
      <c r="B54" s="409" t="str">
        <f>IF(名簿ﾘｽﾄ!D53="","",名簿ﾘｽﾄ!D53)</f>
        <v>森</v>
      </c>
      <c r="C54" s="409" t="str">
        <f>IF(名簿ﾘｽﾄ!E53="","",名簿ﾘｽﾄ!E53)</f>
        <v>森　健人</v>
      </c>
      <c r="D54" s="409" t="str">
        <f>IF(名簿ﾘｽﾄ!F53="","",名簿ﾘｽﾄ!F53)</f>
        <v>モリ　タケト</v>
      </c>
      <c r="E54" s="409">
        <f>IF(名簿ﾘｽﾄ!G53="","",名簿ﾘｽﾄ!G53)</f>
        <v>19771</v>
      </c>
      <c r="F54" s="117">
        <f>名簿ﾘｽﾄ!H53</f>
        <v>25662</v>
      </c>
      <c r="G54" s="119"/>
      <c r="H54" s="114"/>
      <c r="I54" s="114"/>
      <c r="J54" s="114"/>
      <c r="K54" s="114"/>
      <c r="L54" s="126">
        <f t="shared" si="2"/>
        <v>50</v>
      </c>
      <c r="M54" s="116" t="str">
        <f t="shared" si="3"/>
        <v>山中</v>
      </c>
      <c r="N54" s="127" t="str">
        <f>IF(IFERROR(VLOOKUP(M54,集計!$H$5:$I$44,2,FALSE),"")=0,"",IFERROR(VLOOKUP(M54,集計!$H$5:$I$44,2,FALSE),""))</f>
        <v/>
      </c>
      <c r="P54" s="130"/>
      <c r="Q54" s="15"/>
    </row>
    <row r="55" spans="1:17" x14ac:dyDescent="0.15">
      <c r="A55" s="126">
        <f t="shared" si="1"/>
        <v>50</v>
      </c>
      <c r="B55" s="409" t="str">
        <f>IF(名簿ﾘｽﾄ!D54="","",名簿ﾘｽﾄ!D54)</f>
        <v>山中</v>
      </c>
      <c r="C55" s="409" t="str">
        <f>IF(名簿ﾘｽﾄ!E54="","",名簿ﾘｽﾄ!E54)</f>
        <v>山中　廣次</v>
      </c>
      <c r="D55" s="409" t="str">
        <f>IF(名簿ﾘｽﾄ!F54="","",名簿ﾘｽﾄ!F54)</f>
        <v>ヤマナカ　コウジ</v>
      </c>
      <c r="E55" s="409">
        <f>IF(名簿ﾘｽﾄ!G54="","",名簿ﾘｽﾄ!G54)</f>
        <v>17603</v>
      </c>
      <c r="F55" s="117">
        <f>名簿ﾘｽﾄ!H54</f>
        <v>27830</v>
      </c>
      <c r="G55" s="119"/>
      <c r="H55" s="114"/>
      <c r="I55" s="114"/>
      <c r="J55" s="114"/>
      <c r="K55" s="114"/>
      <c r="L55" s="126">
        <f t="shared" si="2"/>
        <v>51</v>
      </c>
      <c r="M55" s="116" t="str">
        <f t="shared" si="3"/>
        <v>湯浅</v>
      </c>
      <c r="N55" s="127" t="str">
        <f>IF(IFERROR(VLOOKUP(M55,集計!$H$5:$I$44,2,FALSE),"")=0,"",IFERROR(VLOOKUP(M55,集計!$H$5:$I$44,2,FALSE),""))</f>
        <v/>
      </c>
      <c r="P55" s="130"/>
      <c r="Q55" s="15"/>
    </row>
    <row r="56" spans="1:17" x14ac:dyDescent="0.15">
      <c r="A56" s="126">
        <f t="shared" si="1"/>
        <v>51</v>
      </c>
      <c r="B56" s="409" t="str">
        <f>IF(名簿ﾘｽﾄ!D55="","",名簿ﾘｽﾄ!D55)</f>
        <v>湯浅</v>
      </c>
      <c r="C56" s="409" t="str">
        <f>IF(名簿ﾘｽﾄ!E55="","",名簿ﾘｽﾄ!E55)</f>
        <v>湯浅　恒男</v>
      </c>
      <c r="D56" s="409" t="str">
        <f>IF(名簿ﾘｽﾄ!F55="","",名簿ﾘｽﾄ!F55)</f>
        <v>ユアサ　ヒサオ</v>
      </c>
      <c r="E56" s="409">
        <f>IF(名簿ﾘｽﾄ!G55="","",名簿ﾘｽﾄ!G55)</f>
        <v>16048</v>
      </c>
      <c r="F56" s="117">
        <f>名簿ﾘｽﾄ!H55</f>
        <v>29385</v>
      </c>
      <c r="G56" s="119"/>
      <c r="H56" s="114"/>
      <c r="I56" s="114"/>
      <c r="J56" s="114"/>
      <c r="K56" s="114"/>
      <c r="L56" s="126">
        <f t="shared" si="2"/>
        <v>52</v>
      </c>
      <c r="M56" s="116" t="str">
        <f t="shared" si="3"/>
        <v>横山</v>
      </c>
      <c r="N56" s="127" t="str">
        <f>IF(IFERROR(VLOOKUP(M56,集計!$H$5:$I$44,2,FALSE),"")=0,"",IFERROR(VLOOKUP(M56,集計!$H$5:$I$44,2,FALSE),""))</f>
        <v/>
      </c>
      <c r="P56" s="130"/>
      <c r="Q56" s="15"/>
    </row>
    <row r="57" spans="1:17" x14ac:dyDescent="0.15">
      <c r="A57" s="126">
        <f t="shared" si="1"/>
        <v>52</v>
      </c>
      <c r="B57" s="409" t="str">
        <f>IF(名簿ﾘｽﾄ!D56="","",名簿ﾘｽﾄ!D56)</f>
        <v>横山</v>
      </c>
      <c r="C57" s="409" t="str">
        <f>IF(名簿ﾘｽﾄ!E56="","",名簿ﾘｽﾄ!E56)</f>
        <v>横山　洋　</v>
      </c>
      <c r="D57" s="409" t="str">
        <f>IF(名簿ﾘｽﾄ!F56="","",名簿ﾘｽﾄ!F56)</f>
        <v>ヨコヤマ　ヒロシ</v>
      </c>
      <c r="E57" s="409">
        <f>IF(名簿ﾘｽﾄ!G56="","",名簿ﾘｽﾄ!G56)</f>
        <v>15347</v>
      </c>
      <c r="F57" s="117">
        <f>名簿ﾘｽﾄ!H56</f>
        <v>30086</v>
      </c>
      <c r="G57" s="119"/>
      <c r="H57" s="114"/>
      <c r="I57" s="114"/>
      <c r="J57" s="114"/>
      <c r="K57" s="114"/>
      <c r="L57" s="126">
        <f t="shared" si="2"/>
        <v>53</v>
      </c>
      <c r="M57" s="116" t="str">
        <f t="shared" si="3"/>
        <v>吉澤</v>
      </c>
      <c r="N57" s="127" t="str">
        <f>IF(IFERROR(VLOOKUP(M57,集計!$H$5:$I$44,2,FALSE),"")=0,"",IFERROR(VLOOKUP(M57,集計!$H$5:$I$44,2,FALSE),""))</f>
        <v/>
      </c>
      <c r="P57" s="130"/>
      <c r="Q57" s="15"/>
    </row>
    <row r="58" spans="1:17" x14ac:dyDescent="0.15">
      <c r="A58" s="126">
        <f t="shared" si="1"/>
        <v>53</v>
      </c>
      <c r="B58" s="409" t="str">
        <f>IF(名簿ﾘｽﾄ!D57="","",名簿ﾘｽﾄ!D57)</f>
        <v>吉澤</v>
      </c>
      <c r="C58" s="409" t="str">
        <f>IF(名簿ﾘｽﾄ!E57="","",名簿ﾘｽﾄ!E57)</f>
        <v>吉澤　隆</v>
      </c>
      <c r="D58" s="409" t="str">
        <f>IF(名簿ﾘｽﾄ!F57="","",名簿ﾘｽﾄ!F57)</f>
        <v>ヨシザワ　タカシ</v>
      </c>
      <c r="E58" s="409">
        <f>IF(名簿ﾘｽﾄ!G57="","",名簿ﾘｽﾄ!G57)</f>
        <v>15798</v>
      </c>
      <c r="F58" s="117">
        <f>名簿ﾘｽﾄ!H57</f>
        <v>29635</v>
      </c>
      <c r="G58" s="119"/>
      <c r="H58" s="114"/>
      <c r="I58" s="114"/>
      <c r="J58" s="114"/>
      <c r="K58" s="114"/>
      <c r="L58" s="126">
        <f t="shared" si="2"/>
        <v>54</v>
      </c>
      <c r="M58" s="116" t="str">
        <f t="shared" si="3"/>
        <v>吉田</v>
      </c>
      <c r="N58" s="127" t="str">
        <f>IF(IFERROR(VLOOKUP(M58,集計!$H$5:$I$44,2,FALSE),"")=0,"",IFERROR(VLOOKUP(M58,集計!$H$5:$I$44,2,FALSE),""))</f>
        <v/>
      </c>
      <c r="P58" s="130"/>
      <c r="Q58" s="15"/>
    </row>
    <row r="59" spans="1:17" x14ac:dyDescent="0.15">
      <c r="A59" s="126">
        <f t="shared" si="1"/>
        <v>54</v>
      </c>
      <c r="B59" s="409" t="str">
        <f>IF(名簿ﾘｽﾄ!D58="","",名簿ﾘｽﾄ!D58)</f>
        <v>吉田</v>
      </c>
      <c r="C59" s="409" t="str">
        <f>IF(名簿ﾘｽﾄ!E58="","",名簿ﾘｽﾄ!E58)</f>
        <v>吉田　一雄</v>
      </c>
      <c r="D59" s="409" t="str">
        <f>IF(名簿ﾘｽﾄ!F58="","",名簿ﾘｽﾄ!F58)</f>
        <v>ヨシダ　カズオ</v>
      </c>
      <c r="E59" s="409">
        <f>IF(名簿ﾘｽﾄ!G58="","",名簿ﾘｽﾄ!G58)</f>
        <v>15925</v>
      </c>
      <c r="F59" s="117">
        <f>名簿ﾘｽﾄ!H58</f>
        <v>29508</v>
      </c>
      <c r="G59" s="119"/>
      <c r="H59" s="114"/>
      <c r="I59" s="114"/>
      <c r="J59" s="114"/>
      <c r="K59" s="114"/>
      <c r="L59" s="336">
        <f t="shared" si="2"/>
        <v>55</v>
      </c>
      <c r="M59" s="327" t="str">
        <f t="shared" si="3"/>
        <v>渡辺昭</v>
      </c>
      <c r="N59" s="337" t="str">
        <f>IF(IFERROR(VLOOKUP(M59,集計!$H$5:$I$44,2,FALSE),"")=0,"",IFERROR(VLOOKUP(M59,集計!$H$5:$I$44,2,FALSE),""))</f>
        <v/>
      </c>
      <c r="P59" s="130"/>
      <c r="Q59" s="15"/>
    </row>
    <row r="60" spans="1:17" x14ac:dyDescent="0.15">
      <c r="A60" s="126">
        <f t="shared" si="1"/>
        <v>55</v>
      </c>
      <c r="B60" s="409" t="str">
        <f>IF(名簿ﾘｽﾄ!D59="","",名簿ﾘｽﾄ!D59)</f>
        <v>渡辺昭</v>
      </c>
      <c r="C60" s="409" t="str">
        <f>IF(名簿ﾘｽﾄ!E59="","",名簿ﾘｽﾄ!E59)</f>
        <v>渡辺　昭文</v>
      </c>
      <c r="D60" s="409" t="str">
        <f>IF(名簿ﾘｽﾄ!F59="","",名簿ﾘｽﾄ!F59)</f>
        <v>ワタナベ アキフミ</v>
      </c>
      <c r="E60" s="409">
        <f>IF(名簿ﾘｽﾄ!G59="","",名簿ﾘｽﾄ!G59)</f>
        <v>17759</v>
      </c>
      <c r="F60" s="117">
        <f>名簿ﾘｽﾄ!H59</f>
        <v>27674</v>
      </c>
      <c r="G60" s="119"/>
      <c r="H60" s="114"/>
      <c r="I60" s="114"/>
      <c r="J60" s="114"/>
      <c r="K60" s="114"/>
      <c r="L60" s="126">
        <v>56</v>
      </c>
      <c r="M60" s="116" t="str">
        <f>IF(B61="ｷｬﾝｾﾙ1","",B61)</f>
        <v>渡辺政</v>
      </c>
      <c r="N60" s="127"/>
    </row>
    <row r="61" spans="1:17" x14ac:dyDescent="0.15">
      <c r="A61" s="126">
        <f t="shared" si="1"/>
        <v>56</v>
      </c>
      <c r="B61" s="409" t="str">
        <f>IF(名簿ﾘｽﾄ!D60="","",名簿ﾘｽﾄ!D60)</f>
        <v>渡辺政</v>
      </c>
      <c r="C61" s="409" t="str">
        <f>IF(名簿ﾘｽﾄ!E60="","",名簿ﾘｽﾄ!E60)</f>
        <v>渡辺　政明</v>
      </c>
      <c r="D61" s="409" t="str">
        <f>IF(名簿ﾘｽﾄ!F60="","",名簿ﾘｽﾄ!F60)</f>
        <v>ワタナベ　マサアキ</v>
      </c>
      <c r="E61" s="409">
        <f>IF(名簿ﾘｽﾄ!G60="","",名簿ﾘｽﾄ!G60)</f>
        <v>19291</v>
      </c>
      <c r="F61" s="117">
        <f>名簿ﾘｽﾄ!H60</f>
        <v>26142</v>
      </c>
      <c r="G61" s="119"/>
      <c r="H61" s="114"/>
      <c r="I61" s="114"/>
      <c r="J61" s="114"/>
      <c r="K61" s="114"/>
      <c r="L61" s="126">
        <v>57</v>
      </c>
      <c r="M61" s="116" t="str">
        <f>IF(B62="ｷｬﾝｾﾙ2","",B62)</f>
        <v>村中</v>
      </c>
      <c r="N61" s="127"/>
    </row>
    <row r="62" spans="1:17" x14ac:dyDescent="0.15">
      <c r="A62" s="126">
        <f t="shared" si="1"/>
        <v>57</v>
      </c>
      <c r="B62" s="409" t="str">
        <f>IF(名簿ﾘｽﾄ!D61="","",名簿ﾘｽﾄ!D61)</f>
        <v>村中</v>
      </c>
      <c r="C62" s="409" t="str">
        <f>IF(名簿ﾘｽﾄ!E61="","",名簿ﾘｽﾄ!E61)</f>
        <v>村中　保夫</v>
      </c>
      <c r="D62" s="409" t="str">
        <f>IF(名簿ﾘｽﾄ!F61="","",名簿ﾘｽﾄ!F61)</f>
        <v>ムラナカ　ヤスオ</v>
      </c>
      <c r="E62" s="409">
        <f>IF(名簿ﾘｽﾄ!G61="","",名簿ﾘｽﾄ!G61)</f>
        <v>20660</v>
      </c>
      <c r="F62" s="117">
        <f>名簿ﾘｽﾄ!H61</f>
        <v>0</v>
      </c>
      <c r="G62" s="119"/>
      <c r="H62" s="114"/>
      <c r="I62" s="114"/>
      <c r="J62" s="114"/>
      <c r="K62" s="114"/>
      <c r="L62" s="126">
        <v>58</v>
      </c>
      <c r="M62" s="116" t="str">
        <f>IF(B63="ｷｬﾝｾﾙ3","",B63)</f>
        <v>奈良</v>
      </c>
      <c r="N62" s="127"/>
    </row>
    <row r="63" spans="1:17" x14ac:dyDescent="0.15">
      <c r="A63" s="126">
        <f t="shared" si="1"/>
        <v>58</v>
      </c>
      <c r="B63" s="409" t="str">
        <f>IF(名簿ﾘｽﾄ!D62="","",名簿ﾘｽﾄ!D62)</f>
        <v>奈良</v>
      </c>
      <c r="C63" s="409" t="str">
        <f>IF(名簿ﾘｽﾄ!E62="","",名簿ﾘｽﾄ!E62)</f>
        <v>奈良　孝</v>
      </c>
      <c r="D63" s="409" t="str">
        <f>IF(名簿ﾘｽﾄ!F62="","",名簿ﾘｽﾄ!F62)</f>
        <v>ナラ　タカシ</v>
      </c>
      <c r="E63" s="409">
        <f>IF(名簿ﾘｽﾄ!G62="","",名簿ﾘｽﾄ!G62)</f>
        <v>20660</v>
      </c>
      <c r="F63" s="117">
        <f>名簿ﾘｽﾄ!H62</f>
        <v>0</v>
      </c>
      <c r="G63" s="119"/>
      <c r="H63" s="114"/>
      <c r="I63" s="114"/>
      <c r="J63" s="114"/>
      <c r="K63" s="114"/>
      <c r="L63" s="126">
        <v>59</v>
      </c>
      <c r="M63" s="116" t="str">
        <f>IF(B64="ｷｬﾝｾﾙ4","",B64)</f>
        <v/>
      </c>
      <c r="N63" s="127"/>
    </row>
    <row r="64" spans="1:17" ht="14.25" thickBot="1" x14ac:dyDescent="0.2">
      <c r="A64" s="410">
        <f t="shared" si="1"/>
        <v>59</v>
      </c>
      <c r="B64" s="409" t="str">
        <f>IF(名簿ﾘｽﾄ!D63="","",名簿ﾘｽﾄ!D63)</f>
        <v/>
      </c>
      <c r="C64" s="409" t="str">
        <f>IF(名簿ﾘｽﾄ!E63="","",名簿ﾘｽﾄ!E63)</f>
        <v/>
      </c>
      <c r="D64" s="409" t="str">
        <f>IF(名簿ﾘｽﾄ!F63="","",名簿ﾘｽﾄ!F63)</f>
        <v/>
      </c>
      <c r="E64" s="409" t="str">
        <f>IF(名簿ﾘｽﾄ!G63="","",名簿ﾘｽﾄ!G63)</f>
        <v/>
      </c>
      <c r="F64" s="117">
        <f>名簿ﾘｽﾄ!H63</f>
        <v>0</v>
      </c>
      <c r="L64" s="126">
        <v>60</v>
      </c>
      <c r="M64" s="116" t="str">
        <f>IF(B65="ｷｬﾝｾﾙ5","",B65)</f>
        <v/>
      </c>
      <c r="N64" s="127"/>
      <c r="P64" s="106"/>
    </row>
    <row r="65" spans="1:16" ht="14.25" thickTop="1" x14ac:dyDescent="0.15">
      <c r="A65" s="411">
        <v>60</v>
      </c>
      <c r="B65" s="409" t="str">
        <f>IF(名簿ﾘｽﾄ!D64="","",名簿ﾘｽﾄ!D64)</f>
        <v/>
      </c>
      <c r="C65" s="409" t="str">
        <f>IF(名簿ﾘｽﾄ!E64="","",名簿ﾘｽﾄ!E64)</f>
        <v/>
      </c>
      <c r="D65" s="409" t="str">
        <f>IF(名簿ﾘｽﾄ!F64="","",名簿ﾘｽﾄ!F64)</f>
        <v/>
      </c>
      <c r="E65" s="409" t="str">
        <f>IF(名簿ﾘｽﾄ!G64="","",名簿ﾘｽﾄ!G64)</f>
        <v/>
      </c>
      <c r="F65" s="117">
        <f>名簿ﾘｽﾄ!H64</f>
        <v>0</v>
      </c>
      <c r="L65" s="126">
        <v>61</v>
      </c>
      <c r="M65" s="116" t="str">
        <f>IF(B66="ｷｬﾝｾﾙ6","",B66)</f>
        <v/>
      </c>
      <c r="N65" s="127"/>
    </row>
    <row r="66" spans="1:16" x14ac:dyDescent="0.15">
      <c r="A66" s="118">
        <v>61</v>
      </c>
      <c r="B66" s="409" t="str">
        <f>IF(名簿ﾘｽﾄ!D65="","",名簿ﾘｽﾄ!D65)</f>
        <v/>
      </c>
      <c r="C66" s="409" t="str">
        <f>IF(名簿ﾘｽﾄ!E65="","",名簿ﾘｽﾄ!E65)</f>
        <v/>
      </c>
      <c r="D66" s="409" t="str">
        <f>IF(名簿ﾘｽﾄ!F65="","",名簿ﾘｽﾄ!F65)</f>
        <v/>
      </c>
      <c r="E66" s="409" t="str">
        <f>IF(名簿ﾘｽﾄ!G65="","",名簿ﾘｽﾄ!G65)</f>
        <v/>
      </c>
      <c r="F66" s="117">
        <f>名簿ﾘｽﾄ!H65</f>
        <v>0</v>
      </c>
      <c r="L66" s="126">
        <v>62</v>
      </c>
      <c r="M66" s="116" t="str">
        <f>IF(B67="ｷｬﾝｾﾙ7","",B67)</f>
        <v/>
      </c>
      <c r="N66" s="127"/>
    </row>
    <row r="67" spans="1:16" x14ac:dyDescent="0.15">
      <c r="A67" s="118">
        <v>62</v>
      </c>
      <c r="B67" s="409" t="str">
        <f>IF(名簿ﾘｽﾄ!D66="","",名簿ﾘｽﾄ!D66)</f>
        <v/>
      </c>
      <c r="C67" s="409" t="str">
        <f>IF(名簿ﾘｽﾄ!E66="","",名簿ﾘｽﾄ!E66)</f>
        <v/>
      </c>
      <c r="D67" s="409" t="str">
        <f>IF(名簿ﾘｽﾄ!F66="","",名簿ﾘｽﾄ!F66)</f>
        <v/>
      </c>
      <c r="E67" s="409" t="str">
        <f>IF(名簿ﾘｽﾄ!G66="","",名簿ﾘｽﾄ!G66)</f>
        <v/>
      </c>
      <c r="F67" s="117">
        <f>名簿ﾘｽﾄ!H66</f>
        <v>0</v>
      </c>
      <c r="L67" s="126">
        <v>63</v>
      </c>
      <c r="M67" s="116" t="str">
        <f>IF(B68="ｷｬﾝｾﾙ8","",B68)</f>
        <v/>
      </c>
      <c r="N67" s="127"/>
    </row>
    <row r="68" spans="1:16" x14ac:dyDescent="0.15">
      <c r="A68" s="118">
        <v>63</v>
      </c>
      <c r="B68" s="409" t="str">
        <f>IF(名簿ﾘｽﾄ!D67="","",名簿ﾘｽﾄ!D67)</f>
        <v/>
      </c>
      <c r="C68" s="409" t="str">
        <f>IF(名簿ﾘｽﾄ!E67="","",名簿ﾘｽﾄ!E67)</f>
        <v/>
      </c>
      <c r="D68" s="409" t="str">
        <f>IF(名簿ﾘｽﾄ!F67="","",名簿ﾘｽﾄ!F67)</f>
        <v/>
      </c>
      <c r="E68" s="409" t="str">
        <f>IF(名簿ﾘｽﾄ!G67="","",名簿ﾘｽﾄ!G67)</f>
        <v/>
      </c>
      <c r="F68" s="117">
        <f>名簿ﾘｽﾄ!H67</f>
        <v>0</v>
      </c>
      <c r="L68" s="444">
        <v>64</v>
      </c>
      <c r="M68" s="408" t="str">
        <f t="shared" si="3"/>
        <v/>
      </c>
      <c r="N68" s="445"/>
      <c r="P68" s="23" t="s">
        <v>347</v>
      </c>
    </row>
    <row r="69" spans="1:16" ht="14.25" thickBot="1" x14ac:dyDescent="0.2">
      <c r="A69" s="405">
        <v>64</v>
      </c>
      <c r="B69" s="405" t="str">
        <f>IF(シート①入力画面!$Q$54="","",シート①入力画面!$Q$54)</f>
        <v/>
      </c>
      <c r="C69" s="405" t="str">
        <f>IF(シート①入力画面!$S$54="","",シート①入力画面!$Q$54&amp;" "&amp; シート①入力画面!$S$54)</f>
        <v/>
      </c>
      <c r="D69" s="405" t="str">
        <f>IF(シート①入力画面!$U$54="","",シート①入力画面!$U$54)</f>
        <v/>
      </c>
      <c r="E69" s="406" t="str">
        <f>IF(シート①入力画面!$W$54="","",シート①入力画面!$W$54)</f>
        <v/>
      </c>
      <c r="F69" s="407">
        <f ca="1">IF(E69="",10,TODAY()-E69)</f>
        <v>10</v>
      </c>
      <c r="G69" s="119" t="s">
        <v>345</v>
      </c>
      <c r="L69" s="446">
        <v>65</v>
      </c>
      <c r="M69" s="447" t="str">
        <f t="shared" si="3"/>
        <v/>
      </c>
      <c r="N69" s="448"/>
      <c r="P69" s="23" t="s">
        <v>344</v>
      </c>
    </row>
    <row r="70" spans="1:16" x14ac:dyDescent="0.15">
      <c r="A70" s="405">
        <v>65</v>
      </c>
      <c r="B70" s="405" t="str">
        <f>IF(シート①入力画面!$Q$55="","",シート①入力画面!$Q$55)</f>
        <v/>
      </c>
      <c r="C70" s="405" t="str">
        <f>IF(シート①入力画面!$S$55="","",シート①入力画面!$Q$55&amp;" "&amp; シート①入力画面!$S$55)</f>
        <v/>
      </c>
      <c r="D70" s="405" t="str">
        <f>IF(シート①入力画面!$U$55="","",シート①入力画面!$U$55)</f>
        <v/>
      </c>
      <c r="E70" s="406" t="str">
        <f>IF(シート①入力画面!$W$55="","",シート①入力画面!$W$55)</f>
        <v/>
      </c>
      <c r="F70" s="407">
        <f ca="1">IF(E70="",11,TODAY()-E70)</f>
        <v>11</v>
      </c>
      <c r="G70" s="119" t="s">
        <v>346</v>
      </c>
      <c r="P70" s="23" t="s">
        <v>349</v>
      </c>
    </row>
    <row r="72" spans="1:16" x14ac:dyDescent="0.15">
      <c r="C72" s="114" t="s">
        <v>61</v>
      </c>
    </row>
    <row r="73" spans="1:16" x14ac:dyDescent="0.15">
      <c r="C73" s="114" t="s">
        <v>60</v>
      </c>
    </row>
    <row r="74" spans="1:16" x14ac:dyDescent="0.15">
      <c r="C74" s="114" t="s">
        <v>62</v>
      </c>
    </row>
    <row r="76" spans="1:16" x14ac:dyDescent="0.15">
      <c r="B76" s="23">
        <f>6+65-(COUNTIF(B6:B70,"ｷｬﾝｾﾙ*")+COUNTIF(B6:B70,""))</f>
        <v>64</v>
      </c>
    </row>
  </sheetData>
  <sheetProtection password="EBCD" sheet="1" objects="1" scenarios="1" selectLockedCells="1" selectUnlockedCells="1"/>
  <phoneticPr fontId="1"/>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X87"/>
  <sheetViews>
    <sheetView workbookViewId="0">
      <selection activeCell="B1" sqref="B1:AW1048576"/>
    </sheetView>
  </sheetViews>
  <sheetFormatPr defaultRowHeight="13.5" x14ac:dyDescent="0.15"/>
  <cols>
    <col min="2" max="3" width="9" hidden="1" customWidth="1"/>
    <col min="4" max="4" width="3.375" hidden="1" customWidth="1"/>
    <col min="5" max="10" width="9" hidden="1" customWidth="1"/>
    <col min="11" max="11" width="9.125" hidden="1" customWidth="1"/>
    <col min="12" max="12" width="9" hidden="1" customWidth="1"/>
    <col min="13" max="14" width="10.875" hidden="1" customWidth="1"/>
    <col min="15" max="15" width="9" hidden="1" customWidth="1"/>
    <col min="16" max="16" width="9" style="15" hidden="1" customWidth="1"/>
    <col min="17" max="20" width="9" hidden="1" customWidth="1"/>
    <col min="21" max="21" width="11.125" hidden="1" customWidth="1"/>
    <col min="22" max="22" width="3.625" hidden="1" customWidth="1"/>
    <col min="23" max="23" width="9" hidden="1" customWidth="1"/>
    <col min="24" max="24" width="7.875" hidden="1" customWidth="1"/>
    <col min="25" max="29" width="1.125" hidden="1" customWidth="1"/>
    <col min="30" max="34" width="9" hidden="1" customWidth="1"/>
    <col min="35" max="36" width="9.125" hidden="1" customWidth="1"/>
    <col min="37" max="37" width="9" hidden="1" customWidth="1"/>
    <col min="38" max="38" width="9.125" hidden="1" customWidth="1"/>
    <col min="39" max="41" width="9" hidden="1" customWidth="1"/>
    <col min="42" max="42" width="9.125" hidden="1" customWidth="1"/>
    <col min="43" max="49" width="9" hidden="1" customWidth="1"/>
  </cols>
  <sheetData>
    <row r="1" spans="1:50" x14ac:dyDescent="0.15">
      <c r="A1" s="299"/>
      <c r="N1" s="139" t="s">
        <v>75</v>
      </c>
      <c r="T1" s="229" t="s">
        <v>200</v>
      </c>
      <c r="AX1" s="299"/>
    </row>
    <row r="2" spans="1:50" x14ac:dyDescent="0.15">
      <c r="E2" t="s">
        <v>128</v>
      </c>
      <c r="M2" s="146"/>
      <c r="N2" s="143" t="s">
        <v>76</v>
      </c>
      <c r="Q2" s="147"/>
      <c r="S2" s="430" t="s">
        <v>355</v>
      </c>
      <c r="T2" s="147" t="s">
        <v>201</v>
      </c>
      <c r="U2" s="147"/>
      <c r="AD2" s="227" t="s">
        <v>179</v>
      </c>
      <c r="AI2" t="s">
        <v>187</v>
      </c>
      <c r="AN2" s="227" t="s">
        <v>178</v>
      </c>
    </row>
    <row r="3" spans="1:50" x14ac:dyDescent="0.15">
      <c r="E3" s="128" t="s">
        <v>126</v>
      </c>
      <c r="F3" s="128" t="s">
        <v>129</v>
      </c>
      <c r="G3" s="128" t="s">
        <v>125</v>
      </c>
      <c r="H3" s="128" t="s">
        <v>138</v>
      </c>
      <c r="I3" s="191" t="s">
        <v>144</v>
      </c>
      <c r="J3" s="128"/>
      <c r="K3" s="189" t="s">
        <v>127</v>
      </c>
      <c r="L3" s="128"/>
      <c r="M3" s="147"/>
      <c r="N3" s="146" t="s">
        <v>85</v>
      </c>
      <c r="O3" s="147" t="s">
        <v>137</v>
      </c>
      <c r="P3" s="188" t="s">
        <v>136</v>
      </c>
      <c r="S3" s="298" t="s">
        <v>353</v>
      </c>
      <c r="T3" s="147"/>
      <c r="U3" s="147"/>
      <c r="V3" s="147" t="s">
        <v>86</v>
      </c>
      <c r="AD3" s="147" t="s">
        <v>84</v>
      </c>
      <c r="AI3" t="s">
        <v>188</v>
      </c>
      <c r="AN3" s="147" t="s">
        <v>82</v>
      </c>
      <c r="AT3" t="s">
        <v>195</v>
      </c>
      <c r="AU3" t="s">
        <v>196</v>
      </c>
      <c r="AV3" t="s">
        <v>197</v>
      </c>
    </row>
    <row r="4" spans="1:50" x14ac:dyDescent="0.15">
      <c r="A4" s="128"/>
      <c r="B4" s="128"/>
      <c r="C4" s="128"/>
      <c r="D4" s="128"/>
      <c r="F4" s="128" t="s">
        <v>152</v>
      </c>
      <c r="G4" s="128"/>
      <c r="H4" s="128" t="s">
        <v>151</v>
      </c>
      <c r="I4" s="182" t="s">
        <v>145</v>
      </c>
      <c r="J4" s="128"/>
      <c r="K4" s="189" t="s">
        <v>139</v>
      </c>
      <c r="L4" s="128"/>
      <c r="N4" s="13"/>
      <c r="O4" s="13" t="s">
        <v>150</v>
      </c>
      <c r="P4"/>
      <c r="Q4" s="15"/>
      <c r="R4" s="298" t="s">
        <v>54</v>
      </c>
      <c r="S4" s="298" t="s">
        <v>354</v>
      </c>
      <c r="T4" s="830" t="s">
        <v>55</v>
      </c>
      <c r="U4" s="831"/>
      <c r="X4" t="s">
        <v>122</v>
      </c>
      <c r="AD4" s="146" t="s">
        <v>80</v>
      </c>
      <c r="AI4" t="s">
        <v>189</v>
      </c>
      <c r="AN4" s="147" t="s">
        <v>90</v>
      </c>
      <c r="AT4" s="229" t="s">
        <v>191</v>
      </c>
      <c r="AU4" s="229" t="s">
        <v>193</v>
      </c>
      <c r="AV4" s="229" t="s">
        <v>192</v>
      </c>
    </row>
    <row r="5" spans="1:50" x14ac:dyDescent="0.15">
      <c r="A5" s="128"/>
      <c r="B5" s="128"/>
      <c r="C5" s="129" t="s">
        <v>135</v>
      </c>
      <c r="E5" s="574"/>
      <c r="F5" s="107"/>
      <c r="G5" s="107"/>
      <c r="H5" s="107"/>
      <c r="I5" s="413" t="s">
        <v>149</v>
      </c>
      <c r="J5" s="182"/>
      <c r="P5"/>
      <c r="Q5" s="15"/>
      <c r="T5" s="107"/>
      <c r="U5" s="107"/>
      <c r="X5" s="169"/>
      <c r="Y5" s="170"/>
      <c r="Z5" s="171"/>
      <c r="AA5" s="169"/>
      <c r="AD5" s="141" t="s">
        <v>83</v>
      </c>
      <c r="AE5" s="141"/>
      <c r="AF5" s="141"/>
      <c r="AG5" s="141"/>
      <c r="AI5" t="s">
        <v>190</v>
      </c>
      <c r="AN5" s="147" t="s">
        <v>91</v>
      </c>
      <c r="AT5" s="229"/>
      <c r="AU5" s="229" t="s">
        <v>194</v>
      </c>
      <c r="AV5" s="229"/>
    </row>
    <row r="6" spans="1:50" x14ac:dyDescent="0.15">
      <c r="A6" s="128"/>
      <c r="C6" s="129">
        <v>1</v>
      </c>
      <c r="E6" s="414" t="str">
        <f ca="1">VLOOKUP(G6,$F$6:$H$70,3,FALSE)</f>
        <v>中山</v>
      </c>
      <c r="F6" s="180">
        <f ca="1">IF(H6="","",IF(シート①入力画面!$AW$45=1,P6,F6))</f>
        <v>0.72578806473143498</v>
      </c>
      <c r="G6" s="128">
        <f t="shared" ref="G6:G65" ca="1" si="0">SMALL($F$6:$F$70,C6)</f>
        <v>2.2926169442179178E-2</v>
      </c>
      <c r="H6" s="129" t="str">
        <f>シート①入力画面!BF71</f>
        <v>安藤</v>
      </c>
      <c r="I6" s="571" t="str">
        <f>IF(シート①入力画面!$AZ$36=1,IF(ISNA(VLOOKUP(H6,$S$6:$T$53,2,FALSE)),H6,VLOOKUP(H6,$S$6:$T$53,2,FALSE)),I6)</f>
        <v>安藤</v>
      </c>
      <c r="J6" s="128"/>
      <c r="K6" s="129" t="str">
        <f t="shared" ref="K6:K53" si="1">IF(ISNA(IF(R6="","",VLOOKUP(R6,$E$6:$G$70,3,FALSE))),"",IF(R6="","",VLOOKUP(R6,$E$6:$G$70,3,FALSE)))</f>
        <v/>
      </c>
      <c r="L6" s="129" t="str">
        <f t="shared" ref="L6:L53" si="2">R6</f>
        <v/>
      </c>
      <c r="N6" s="181">
        <f t="shared" ref="N6:N53" ca="1" si="3">IF(ISNA(R6),"",O6)</f>
        <v>0.72578806473143498</v>
      </c>
      <c r="O6" s="181">
        <f ca="1">IF(ISBLANK(R6),"",IF(シート①入力画面!$AW$45=1,P6,$O6))</f>
        <v>0.72578806473143498</v>
      </c>
      <c r="P6" s="180">
        <f t="shared" ref="P6:P69" ca="1" si="4">RAND()</f>
        <v>0.72578806473143498</v>
      </c>
      <c r="Q6" s="15" t="str">
        <f t="shared" ref="Q6:Q45" si="5">IF(ISNA(VLOOKUP($R6,$Y$6:$AA$60,2,FALSE)),"",VLOOKUP($R6,$Y$6:$AA$60,2,FALSE))</f>
        <v/>
      </c>
      <c r="R6" s="176" t="str">
        <f>IF(シート①入力画面!BB70=" --","",IF(シート①入力画面!BB70="","",シート①入力画面!BB70))</f>
        <v/>
      </c>
      <c r="S6" s="571" t="str">
        <f t="array" ref="S6">IF(ROW(R6)-5&gt;(48-COUNTBLANK($R$6:$R$53)),"",INDEX($R$6:$R$53,SMALL(IF($R$6:$R$53&lt;&gt;"",ROW($R$6:$R$53)-5,""),ROW(R6)-5)))</f>
        <v/>
      </c>
      <c r="T6" s="571" t="str">
        <f>IF(シート①入力画面!$AW$45=1,IF(U6="","",VLOOKUP($U6,$K$6:$L$53,2,FALSE)),T6)</f>
        <v/>
      </c>
      <c r="U6" s="575" t="str">
        <f>IF(ISERROR(SMALL($K$6:$K$53,$V6)),"",SMALL($K$6:$K$53,$V6))</f>
        <v/>
      </c>
      <c r="V6" s="172">
        <v>1</v>
      </c>
      <c r="X6" s="177" t="str">
        <f>IF(シート①入力画面!BW70=" --","",IF(シート①入力画面!BW70="","",シート①入力画面!BW70))</f>
        <v/>
      </c>
      <c r="Y6" s="96"/>
      <c r="Z6" s="130"/>
      <c r="AA6" s="15"/>
      <c r="AD6" s="141">
        <v>1</v>
      </c>
      <c r="AE6" s="141">
        <v>2</v>
      </c>
      <c r="AF6" s="141">
        <v>3</v>
      </c>
      <c r="AG6" s="141">
        <v>4</v>
      </c>
      <c r="AN6" s="147" t="s">
        <v>81</v>
      </c>
      <c r="AT6" s="229"/>
      <c r="AU6" s="229"/>
      <c r="AV6" s="229"/>
    </row>
    <row r="7" spans="1:50" x14ac:dyDescent="0.15">
      <c r="A7" s="128"/>
      <c r="C7" s="129">
        <v>2</v>
      </c>
      <c r="E7" s="414" t="str">
        <f t="shared" ref="E7:E70" ca="1" si="6">VLOOKUP(G7,$F$6:$H$70,3,FALSE)</f>
        <v>豊島</v>
      </c>
      <c r="F7" s="180">
        <f ca="1">IF(H7="","",IF(シート①入力画面!$AW$45=1,P7,F7))</f>
        <v>0.77425780288979384</v>
      </c>
      <c r="G7" s="128">
        <f t="shared" ca="1" si="0"/>
        <v>2.9057096532579263E-2</v>
      </c>
      <c r="H7" s="129" t="str">
        <f>シート①入力画面!BF72</f>
        <v>飯田</v>
      </c>
      <c r="I7" s="571" t="str">
        <f>IF(シート①入力画面!$AZ$36=1,IF(ISNA(VLOOKUP(H7,$S$6:$T$53,2,FALSE)),H7,VLOOKUP(H7,$S$6:$T$53,2,FALSE)),I7)</f>
        <v>飯田</v>
      </c>
      <c r="J7" s="128"/>
      <c r="K7" s="129" t="str">
        <f t="shared" si="1"/>
        <v/>
      </c>
      <c r="L7" s="129" t="str">
        <f t="shared" si="2"/>
        <v/>
      </c>
      <c r="N7" s="181">
        <f t="shared" ca="1" si="3"/>
        <v>0.77425780288979384</v>
      </c>
      <c r="O7" s="181">
        <f ca="1">IF(ISBLANK(R7),"",IF(シート①入力画面!$AW$45=1,P7,$O7))</f>
        <v>0.77425780288979384</v>
      </c>
      <c r="P7" s="180">
        <f t="shared" ca="1" si="4"/>
        <v>0.77425780288979384</v>
      </c>
      <c r="Q7" s="15" t="str">
        <f t="shared" si="5"/>
        <v/>
      </c>
      <c r="R7" s="176" t="str">
        <f>IF(シート①入力画面!BB71=" --","",IF(シート①入力画面!BB71="","",シート①入力画面!BB71))</f>
        <v/>
      </c>
      <c r="S7" s="571" t="str">
        <f t="array" ref="S7">IF(ROW(R7)-5&gt;(48-COUNTBLANK($R$6:$R$53)),"",INDEX($R$6:$R$53,SMALL(IF($R$6:$R$53&lt;&gt;"",ROW($R$6:$R$53)-5,""),ROW(R7)-5)))</f>
        <v/>
      </c>
      <c r="T7" s="571" t="str">
        <f>IF(シート①入力画面!$AW$45=1,IF(U7="","",VLOOKUP($U7,$K$6:$L$53,2,FALSE)),T7)</f>
        <v/>
      </c>
      <c r="U7" s="575" t="str">
        <f t="shared" ref="U7:U53" si="7">IF(ISERROR(SMALL($K$6:$K$53,$V7)),"",SMALL($K$6:$K$53,$V7))</f>
        <v/>
      </c>
      <c r="V7" s="173">
        <v>2</v>
      </c>
      <c r="X7" s="177" t="str">
        <f>IF(シート①入力画面!BW71=" --","",IF(シート①入力画面!BW71="","",シート①入力画面!BW71))</f>
        <v/>
      </c>
      <c r="Y7" s="96"/>
      <c r="Z7" s="130"/>
      <c r="AA7" s="15"/>
      <c r="AD7" s="107" t="str">
        <f>IF(ISERROR(INDEX($AN7:$AQ7,1,MATCH(AD8,$AN8:$AQ8,0))),"",INDEX($AN7:$AQ7,1,MATCH(AD8,$AN8:$AQ8,0)))</f>
        <v/>
      </c>
      <c r="AE7" s="107" t="str">
        <f>IF(ISERROR(INDEX($AN7:$AQ7,1,MATCH(AE8,$AN8:$AQ8,0))),"",INDEX($AN7:$AQ7,1,MATCH(AE8,$AN8:$AQ8,0)))</f>
        <v/>
      </c>
      <c r="AF7" s="107" t="str">
        <f>IF(ISERROR(INDEX($AN7:$AQ7,1,MATCH(AF8,$AN8:$AQ8,0))),"",INDEX($AN7:$AQ7,1,MATCH(AF8,$AN8:$AQ8,0)))</f>
        <v/>
      </c>
      <c r="AG7" s="107" t="str">
        <f>IF(ISERROR(INDEX($AN7:$AQ7,1,MATCH(AG8,$AN8:$AQ8,0))),"",INDEX($AN7:$AQ7,1,MATCH(AG8,$AN8:$AQ8,0)))</f>
        <v/>
      </c>
      <c r="AI7" s="107" t="e">
        <f t="array" ref="AI7">IF(COLUMN(AN7)-COLUMN($AM7)&gt;COUNTA($AN7:$AQ7),"",INDEX($AN7:$AQ7,SMALL(IF($AN7:$AQ7&lt;&gt;"",COLUMN($AN7:$AQ7)-COLUMN($AM7),""),COLUMN(AN7)-COLUMN($AM7))))</f>
        <v>#NUM!</v>
      </c>
      <c r="AJ7" s="107" t="e">
        <f t="array" ref="AJ7">IF(COLUMN(AO7)-COLUMN($AM7)&gt;COUNTA($AN7:$AQ7),"",INDEX($AN7:$AQ7,SMALL(IF($AN7:$AQ7&lt;&gt;"",COLUMN($AN7:$AQ7)-COLUMN($AM7),""),COLUMN(AO7)-COLUMN($AM7))))</f>
        <v>#NUM!</v>
      </c>
      <c r="AK7" s="107" t="e">
        <f t="array" ref="AK7">IF(COLUMN(AP7)-COLUMN($AM7)&gt;COUNTA($AN7:$AQ7),"",INDEX($AN7:$AQ7,SMALL(IF($AN7:$AQ7&lt;&gt;"",COLUMN($AN7:$AQ7)-COLUMN($AM7),""),COLUMN(AP7)-COLUMN($AM7))))</f>
        <v>#NUM!</v>
      </c>
      <c r="AL7" s="107" t="e">
        <f t="array" ref="AL7">IF(COLUMN(AQ7)-COLUMN($AM7)&gt;COUNTA($AN7:$AQ7),"",INDEX($AN7:$AQ7,SMALL(IF($AN7:$AQ7&lt;&gt;"",COLUMN($AN7:$AQ7)-COLUMN($AM7),""),COLUMN(AQ7)-COLUMN($AM7))))</f>
        <v>#NUM!</v>
      </c>
      <c r="AN7" s="107" t="str">
        <f>X6</f>
        <v/>
      </c>
      <c r="AO7" s="107" t="str">
        <f>X7</f>
        <v/>
      </c>
      <c r="AP7" s="107" t="str">
        <f>X8</f>
        <v/>
      </c>
      <c r="AQ7" s="107" t="str">
        <f>X9</f>
        <v/>
      </c>
      <c r="AS7" s="142"/>
      <c r="AT7" s="107" t="str">
        <f>$AN$7</f>
        <v/>
      </c>
      <c r="AU7" s="142" t="e">
        <f>AI7</f>
        <v>#NUM!</v>
      </c>
      <c r="AV7" s="142" t="str">
        <f>AD7</f>
        <v/>
      </c>
    </row>
    <row r="8" spans="1:50" x14ac:dyDescent="0.15">
      <c r="A8" s="128"/>
      <c r="C8" s="129">
        <v>3</v>
      </c>
      <c r="E8" s="414" t="str">
        <f t="shared" ca="1" si="6"/>
        <v>田中</v>
      </c>
      <c r="F8" s="180">
        <f ca="1">IF(H8="","",IF(シート①入力画面!$AW$45=1,P8,F8))</f>
        <v>0.91424387222704873</v>
      </c>
      <c r="G8" s="128">
        <f t="shared" ca="1" si="0"/>
        <v>5.3866770582373991E-2</v>
      </c>
      <c r="H8" s="129" t="str">
        <f>シート①入力画面!BF73</f>
        <v>五十嵐</v>
      </c>
      <c r="I8" s="571" t="str">
        <f>IF(シート①入力画面!$AZ$36=1,IF(ISNA(VLOOKUP(H8,$S$6:$T$53,2,FALSE)),H8,VLOOKUP(H8,$S$6:$T$53,2,FALSE)),I8)</f>
        <v>五十嵐</v>
      </c>
      <c r="J8" s="128"/>
      <c r="K8" s="129" t="str">
        <f t="shared" si="1"/>
        <v/>
      </c>
      <c r="L8" s="129" t="str">
        <f t="shared" si="2"/>
        <v/>
      </c>
      <c r="N8" s="181">
        <f t="shared" ca="1" si="3"/>
        <v>0.91424387222704873</v>
      </c>
      <c r="O8" s="181">
        <f ca="1">IF(ISBLANK(R8),"",IF(シート①入力画面!$AW$45=1,P8,$O8))</f>
        <v>0.91424387222704873</v>
      </c>
      <c r="P8" s="180">
        <f t="shared" ca="1" si="4"/>
        <v>0.91424387222704873</v>
      </c>
      <c r="Q8" s="15" t="str">
        <f t="shared" si="5"/>
        <v/>
      </c>
      <c r="R8" s="176" t="str">
        <f>IF(シート①入力画面!BB72=" --","",IF(シート①入力画面!BB72="","",シート①入力画面!BB72))</f>
        <v/>
      </c>
      <c r="S8" s="571" t="str">
        <f t="array" ref="S8">IF(ROW(R8)-5&gt;(48-COUNTBLANK($R$6:$R$53)),"",INDEX($R$6:$R$53,SMALL(IF($R$6:$R$53&lt;&gt;"",ROW($R$6:$R$53)-5,""),ROW(R8)-5)))</f>
        <v/>
      </c>
      <c r="T8" s="571" t="str">
        <f>IF(シート①入力画面!$AW$45=1,IF(U8="","",VLOOKUP($U8,$K$6:$L$53,2,FALSE)),T8)</f>
        <v/>
      </c>
      <c r="U8" s="575" t="str">
        <f t="shared" si="7"/>
        <v/>
      </c>
      <c r="V8" s="173">
        <v>3</v>
      </c>
      <c r="X8" s="177" t="str">
        <f>IF(シート①入力画面!BW72=" --","",IF(シート①入力画面!BW72="","",シート①入力画面!BW72))</f>
        <v/>
      </c>
      <c r="Y8" s="96"/>
      <c r="Z8" s="130"/>
      <c r="AA8" s="15"/>
      <c r="AD8" s="129" t="e">
        <f>LARGE($AN8:$AQ8,AD$6)</f>
        <v>#NUM!</v>
      </c>
      <c r="AE8" s="129" t="e">
        <f>LARGE($AN8:$AQ8,AE$6)</f>
        <v>#NUM!</v>
      </c>
      <c r="AF8" s="129" t="e">
        <f>LARGE($AN8:$AQ8,AF$6)</f>
        <v>#NUM!</v>
      </c>
      <c r="AG8" s="129" t="e">
        <f>LARGE($AN8:$AQ8,AG$6)</f>
        <v>#NUM!</v>
      </c>
      <c r="AI8" s="107"/>
      <c r="AJ8" s="107"/>
      <c r="AK8" s="107"/>
      <c r="AL8" s="107"/>
      <c r="AN8" s="129" t="str">
        <f>IF(ISNUMBER(AN7),20,IF(AN7="","",IF(AN7=シート①入力画面!$Q$23,10,VLOOKUP(AN7,集計!$B$6:$F$70,5,FALSE))))</f>
        <v/>
      </c>
      <c r="AO8" s="129" t="str">
        <f>IF(ISNUMBER(AO7),20,IF(AO7="","",IF(AO7=シート①入力画面!$Q$23,10,VLOOKUP(AO7,集計!$B$6:$F$70,5,FALSE))))</f>
        <v/>
      </c>
      <c r="AP8" s="129" t="str">
        <f>IF(ISNUMBER(AP7),20,IF(AP7="","",IF(AP7=シート①入力画面!$Q$23,10,VLOOKUP(AP7,集計!$B$6:$F$70,5,FALSE))))</f>
        <v/>
      </c>
      <c r="AQ8" s="129" t="str">
        <f>IF(ISNUMBER(AQ7),20,IF(AQ7="","",IF(AQ7=シート①入力画面!$Q$23,10,VLOOKUP(AQ7,集計!$B$6:$F$70,5,FALSE))))</f>
        <v/>
      </c>
      <c r="AT8" s="107" t="str">
        <f>$AO$7</f>
        <v/>
      </c>
      <c r="AU8" s="142" t="e">
        <f>AJ7</f>
        <v>#NUM!</v>
      </c>
      <c r="AV8" s="142" t="str">
        <f>AE7</f>
        <v/>
      </c>
    </row>
    <row r="9" spans="1:50" x14ac:dyDescent="0.15">
      <c r="A9" s="128"/>
      <c r="C9" s="129">
        <v>4</v>
      </c>
      <c r="E9" s="414" t="str">
        <f t="shared" ca="1" si="6"/>
        <v>塩崎</v>
      </c>
      <c r="F9" s="180">
        <f ca="1">IF(H9="","",IF(シート①入力画面!$AW$45=1,P9,F9))</f>
        <v>0.64929203758817644</v>
      </c>
      <c r="G9" s="128">
        <f t="shared" ca="1" si="0"/>
        <v>6.1637662138293137E-2</v>
      </c>
      <c r="H9" s="129" t="str">
        <f>シート①入力画面!BF74</f>
        <v>市来</v>
      </c>
      <c r="I9" s="571" t="str">
        <f>IF(シート①入力画面!$AZ$36=1,IF(ISNA(VLOOKUP(H9,$S$6:$T$53,2,FALSE)),H9,VLOOKUP(H9,$S$6:$T$53,2,FALSE)),I9)</f>
        <v>市来</v>
      </c>
      <c r="J9" s="128"/>
      <c r="K9" s="129" t="str">
        <f t="shared" si="1"/>
        <v/>
      </c>
      <c r="L9" s="129" t="str">
        <f t="shared" si="2"/>
        <v/>
      </c>
      <c r="N9" s="181">
        <f t="shared" ca="1" si="3"/>
        <v>0.64929203758817644</v>
      </c>
      <c r="O9" s="181">
        <f ca="1">IF(ISBLANK(R9),"",IF(シート①入力画面!$AW$45=1,P9,$O9))</f>
        <v>0.64929203758817644</v>
      </c>
      <c r="P9" s="180">
        <f t="shared" ca="1" si="4"/>
        <v>0.64929203758817644</v>
      </c>
      <c r="Q9" s="15" t="str">
        <f t="shared" si="5"/>
        <v/>
      </c>
      <c r="R9" s="176" t="str">
        <f>IF(シート①入力画面!BB73=" --","",IF(シート①入力画面!BB73="","",シート①入力画面!BB73))</f>
        <v/>
      </c>
      <c r="S9" s="571" t="str">
        <f t="array" ref="S9">IF(ROW(R9)-5&gt;(48-COUNTBLANK($R$6:$R$53)),"",INDEX($R$6:$R$53,SMALL(IF($R$6:$R$53&lt;&gt;"",ROW($R$6:$R$53)-5,""),ROW(R9)-5)))</f>
        <v/>
      </c>
      <c r="T9" s="571" t="str">
        <f>IF(シート①入力画面!$AW$45=1,IF(U9="","",VLOOKUP($U9,$K$6:$L$53,2,FALSE)),T9)</f>
        <v/>
      </c>
      <c r="U9" s="575" t="str">
        <f t="shared" si="7"/>
        <v/>
      </c>
      <c r="V9" s="173">
        <v>4</v>
      </c>
      <c r="X9" s="177" t="str">
        <f>IF(シート①入力画面!BW73=" --","",IF(シート①入力画面!BW73="","",シート①入力画面!BW73))</f>
        <v/>
      </c>
      <c r="Y9" s="96"/>
      <c r="Z9" s="130"/>
      <c r="AA9" s="15"/>
      <c r="AD9" s="107" t="str">
        <f>IF(ISERROR(INDEX($AN9:$AQ9,1,MATCH(AD10,$AN10:$AQ10,0))),"",INDEX($AN9:$AQ9,1,MATCH(AD10,$AN10:$AQ10,0)))</f>
        <v/>
      </c>
      <c r="AE9" s="107" t="str">
        <f>IF(ISERROR(INDEX($AN9:$AQ9,1,MATCH(AE10,$AN10:$AQ10,0))),"",INDEX($AN9:$AQ9,1,MATCH(AE10,$AN10:$AQ10,0)))</f>
        <v/>
      </c>
      <c r="AF9" s="107" t="str">
        <f>IF(ISERROR(INDEX($AN9:$AQ9,1,MATCH(AF10,$AN10:$AQ10,0))),"",INDEX($AN9:$AQ9,1,MATCH(AF10,$AN10:$AQ10,0)))</f>
        <v/>
      </c>
      <c r="AG9" s="107" t="str">
        <f>IF(ISERROR(INDEX($AN9:$AQ9,1,MATCH(AG10,$AN10:$AQ10,0))),"",INDEX($AN9:$AQ9,1,MATCH(AG10,$AN10:$AQ10,0)))</f>
        <v/>
      </c>
      <c r="AI9" s="107" t="e">
        <f t="array" ref="AI9">IF(COLUMN(AN9)-COLUMN($AM9)&gt;COUNTA($AN9:$AQ9),"",INDEX($AN9:$AQ9,SMALL(IF($AN9:$AQ9&lt;&gt;"",COLUMN($AN9:$AQ9)-COLUMN($AM9),""),COLUMN(AN9)-COLUMN($AM9))))</f>
        <v>#NUM!</v>
      </c>
      <c r="AJ9" s="107" t="e">
        <f t="array" ref="AJ9">IF(COLUMN(AO9)-COLUMN($AM9)&gt;COUNTA($AN9:$AQ9),"",INDEX($AN9:$AQ9,SMALL(IF($AN9:$AQ9&lt;&gt;"",COLUMN($AN9:$AQ9)-COLUMN($AM9),""),COLUMN(AO9)-COLUMN($AM9))))</f>
        <v>#NUM!</v>
      </c>
      <c r="AK9" s="107" t="e">
        <f t="array" ref="AK9">IF(COLUMN(AP9)-COLUMN($AM9)&gt;COUNTA($AN9:$AQ9),"",INDEX($AN9:$AQ9,SMALL(IF($AN9:$AQ9&lt;&gt;"",COLUMN($AN9:$AQ9)-COLUMN($AM9),""),COLUMN(AP9)-COLUMN($AM9))))</f>
        <v>#NUM!</v>
      </c>
      <c r="AL9" s="107" t="e">
        <f t="array" ref="AL9">IF(COLUMN(AQ9)-COLUMN($AM9)&gt;COUNTA($AN9:$AQ9),"",INDEX($AN9:$AQ9,SMALL(IF($AN9:$AQ9&lt;&gt;"",COLUMN($AN9:$AQ9)-COLUMN($AM9),""),COLUMN(AQ9)-COLUMN($AM9))))</f>
        <v>#NUM!</v>
      </c>
      <c r="AN9" s="107" t="str">
        <f>X10</f>
        <v/>
      </c>
      <c r="AO9" s="107" t="str">
        <f>X11</f>
        <v/>
      </c>
      <c r="AP9" s="107" t="str">
        <f>X12</f>
        <v/>
      </c>
      <c r="AQ9" s="107" t="str">
        <f>X13</f>
        <v/>
      </c>
      <c r="AT9" s="107" t="str">
        <f>$AP$7</f>
        <v/>
      </c>
      <c r="AU9" s="142" t="e">
        <f>AK7</f>
        <v>#NUM!</v>
      </c>
      <c r="AV9" s="142" t="str">
        <f>AF7</f>
        <v/>
      </c>
    </row>
    <row r="10" spans="1:50" x14ac:dyDescent="0.15">
      <c r="A10" s="128"/>
      <c r="C10" s="129">
        <v>5</v>
      </c>
      <c r="E10" s="414" t="str">
        <f t="shared" ca="1" si="6"/>
        <v>近藤静</v>
      </c>
      <c r="F10" s="180">
        <f ca="1">IF(H10="","",IF(シート①入力画面!$AW$45=1,P10,F10))</f>
        <v>0.63388522216308796</v>
      </c>
      <c r="G10" s="128">
        <f t="shared" ca="1" si="0"/>
        <v>8.3559573464244696E-2</v>
      </c>
      <c r="H10" s="129" t="str">
        <f>シート①入力画面!BF75</f>
        <v>伊藤</v>
      </c>
      <c r="I10" s="571" t="str">
        <f>IF(シート①入力画面!$AZ$36=1,IF(ISNA(VLOOKUP(H10,$S$6:$T$53,2,FALSE)),H10,VLOOKUP(H10,$S$6:$T$53,2,FALSE)),I10)</f>
        <v>伊藤</v>
      </c>
      <c r="J10" s="128"/>
      <c r="K10" s="129" t="str">
        <f t="shared" si="1"/>
        <v/>
      </c>
      <c r="L10" s="129" t="str">
        <f t="shared" si="2"/>
        <v/>
      </c>
      <c r="N10" s="181">
        <f t="shared" ca="1" si="3"/>
        <v>0.63388522216308796</v>
      </c>
      <c r="O10" s="181">
        <f ca="1">IF(ISBLANK(R10),"",IF(シート①入力画面!$AW$45=1,P10,$O10))</f>
        <v>0.63388522216308796</v>
      </c>
      <c r="P10" s="180">
        <f t="shared" ca="1" si="4"/>
        <v>0.63388522216308796</v>
      </c>
      <c r="Q10" s="15" t="str">
        <f t="shared" si="5"/>
        <v/>
      </c>
      <c r="R10" s="176" t="str">
        <f>IF(シート①入力画面!BB74=" --","",IF(シート①入力画面!BB74="","",シート①入力画面!BB74))</f>
        <v/>
      </c>
      <c r="S10" s="571" t="str">
        <f t="array" ref="S10">IF(ROW(R10)-5&gt;(48-COUNTBLANK($R$6:$R$53)),"",INDEX($R$6:$R$53,SMALL(IF($R$6:$R$53&lt;&gt;"",ROW($R$6:$R$53)-5,""),ROW(R10)-5)))</f>
        <v/>
      </c>
      <c r="T10" s="571" t="str">
        <f>IF(シート①入力画面!$AW$45=1,IF(U10="","",VLOOKUP($U10,$K$6:$L$53,2,FALSE)),T10)</f>
        <v/>
      </c>
      <c r="U10" s="575" t="str">
        <f t="shared" si="7"/>
        <v/>
      </c>
      <c r="V10" s="173">
        <v>5</v>
      </c>
      <c r="X10" s="177" t="str">
        <f>IF(シート①入力画面!BW74=" --","",IF(シート①入力画面!BW74="","",シート①入力画面!BW74))</f>
        <v/>
      </c>
      <c r="Y10" s="96"/>
      <c r="Z10" s="130"/>
      <c r="AA10" s="15"/>
      <c r="AD10" s="129" t="e">
        <f>LARGE($AN10:$AQ10,AD$6)</f>
        <v>#NUM!</v>
      </c>
      <c r="AE10" s="129" t="e">
        <f>LARGE($AN10:$AQ10,AE$6)</f>
        <v>#NUM!</v>
      </c>
      <c r="AF10" s="129" t="e">
        <f>LARGE($AN10:$AQ10,AF$6)</f>
        <v>#NUM!</v>
      </c>
      <c r="AG10" s="129" t="e">
        <f>LARGE($AN10:$AQ10,AG$6)</f>
        <v>#NUM!</v>
      </c>
      <c r="AI10" s="107"/>
      <c r="AJ10" s="107"/>
      <c r="AK10" s="107"/>
      <c r="AL10" s="107"/>
      <c r="AN10" s="129" t="str">
        <f>IF(AN9="","",IF(AN9=シート①入力画面!$Q$23,10,VLOOKUP(AN9,集計!$B$6:$F$70,5,FALSE)))</f>
        <v/>
      </c>
      <c r="AO10" s="129" t="str">
        <f>IF(AO9="","",IF(AO9=シート①入力画面!$Q$23,10,VLOOKUP(AO9,集計!$B$6:$F$70,5,FALSE)))</f>
        <v/>
      </c>
      <c r="AP10" s="129" t="str">
        <f>IF(AP9="","",IF(AP9=シート①入力画面!$Q$23,10,VLOOKUP(AP9,集計!$B$6:$F$70,5,FALSE)))</f>
        <v/>
      </c>
      <c r="AQ10" s="129" t="str">
        <f>IF(AQ9="","",IF(AQ9=シート①入力画面!$Q$23,10,VLOOKUP(AQ9,集計!$B$6:$F$70,5,FALSE)))</f>
        <v/>
      </c>
      <c r="AT10" s="107" t="str">
        <f>$AQ$7</f>
        <v/>
      </c>
      <c r="AU10" s="142" t="e">
        <f>AL7</f>
        <v>#NUM!</v>
      </c>
      <c r="AV10" s="142" t="str">
        <f>AG7</f>
        <v/>
      </c>
    </row>
    <row r="11" spans="1:50" x14ac:dyDescent="0.15">
      <c r="A11" s="128"/>
      <c r="C11" s="129">
        <v>6</v>
      </c>
      <c r="E11" s="414" t="str">
        <f t="shared" ca="1" si="6"/>
        <v>福山</v>
      </c>
      <c r="F11" s="180">
        <f ca="1">IF(H11="","",IF(シート①入力画面!$AW$45=1,P11,F11))</f>
        <v>0.67865556584742504</v>
      </c>
      <c r="G11" s="128">
        <f t="shared" ca="1" si="0"/>
        <v>8.8612102501538725E-2</v>
      </c>
      <c r="H11" s="129" t="str">
        <f>シート①入力画面!BF76</f>
        <v>上田</v>
      </c>
      <c r="I11" s="571" t="str">
        <f>IF(シート①入力画面!$AZ$36=1,IF(ISNA(VLOOKUP(H11,$S$6:$T$53,2,FALSE)),H11,VLOOKUP(H11,$S$6:$T$53,2,FALSE)),I11)</f>
        <v>上田</v>
      </c>
      <c r="J11" s="128"/>
      <c r="K11" s="129" t="str">
        <f t="shared" si="1"/>
        <v/>
      </c>
      <c r="L11" s="129" t="str">
        <f t="shared" si="2"/>
        <v/>
      </c>
      <c r="N11" s="181">
        <f t="shared" ca="1" si="3"/>
        <v>0.67865556584742504</v>
      </c>
      <c r="O11" s="181">
        <f ca="1">IF(ISBLANK(R11),"",IF(シート①入力画面!$AW$45=1,P11,$O11))</f>
        <v>0.67865556584742504</v>
      </c>
      <c r="P11" s="180">
        <f t="shared" ca="1" si="4"/>
        <v>0.67865556584742504</v>
      </c>
      <c r="Q11" s="15" t="str">
        <f t="shared" si="5"/>
        <v/>
      </c>
      <c r="R11" s="176" t="str">
        <f>IF(シート①入力画面!BB75=" --","",IF(シート①入力画面!BB75="","",シート①入力画面!BB75))</f>
        <v/>
      </c>
      <c r="S11" s="571" t="str">
        <f t="array" ref="S11">IF(ROW(R11)-5&gt;(48-COUNTBLANK($R$6:$R$53)),"",INDEX($R$6:$R$53,SMALL(IF($R$6:$R$53&lt;&gt;"",ROW($R$6:$R$53)-5,""),ROW(R11)-5)))</f>
        <v/>
      </c>
      <c r="T11" s="571" t="str">
        <f>IF(シート①入力画面!$AW$45=1,IF(U11="","",VLOOKUP($U11,$K$6:$L$53,2,FALSE)),T11)</f>
        <v/>
      </c>
      <c r="U11" s="575" t="str">
        <f t="shared" si="7"/>
        <v/>
      </c>
      <c r="V11" s="173">
        <v>6</v>
      </c>
      <c r="X11" s="177" t="str">
        <f>IF(シート①入力画面!BW75=" --","",IF(シート①入力画面!BW75="","",シート①入力画面!BW75))</f>
        <v/>
      </c>
      <c r="Y11" s="96"/>
      <c r="Z11" s="130"/>
      <c r="AA11" s="15"/>
      <c r="AD11" s="107" t="str">
        <f>IF(ISERROR(INDEX($AN11:$AQ11,1,MATCH(AD12,$AN12:$AQ12,0))),"",INDEX($AN11:$AQ11,1,MATCH(AD12,$AN12:$AQ12,0)))</f>
        <v/>
      </c>
      <c r="AE11" s="107" t="str">
        <f>IF(ISERROR(INDEX($AN11:$AQ11,1,MATCH(AE12,$AN12:$AQ12,0))),"",INDEX($AN11:$AQ11,1,MATCH(AE12,$AN12:$AQ12,0)))</f>
        <v/>
      </c>
      <c r="AF11" s="107" t="str">
        <f>IF(ISERROR(INDEX($AN11:$AQ11,1,MATCH(AF12,$AN12:$AQ12,0))),"",INDEX($AN11:$AQ11,1,MATCH(AF12,$AN12:$AQ12,0)))</f>
        <v/>
      </c>
      <c r="AG11" s="107" t="str">
        <f>IF(ISERROR(INDEX($AN11:$AQ11,1,MATCH(AG12,$AN12:$AQ12,0))),"",INDEX($AN11:$AQ11,1,MATCH(AG12,$AN12:$AQ12,0)))</f>
        <v/>
      </c>
      <c r="AI11" s="107" t="e">
        <f t="array" ref="AI11">IF(COLUMN(AN11)-COLUMN($AM11)&gt;COUNTA($AN11:$AQ11),"",INDEX($AN11:$AQ11,SMALL(IF($AN11:$AQ11&lt;&gt;"",COLUMN($AN11:$AQ11)-COLUMN($AM11),""),COLUMN(AN11)-COLUMN($AM11))))</f>
        <v>#NUM!</v>
      </c>
      <c r="AJ11" s="107" t="e">
        <f t="array" ref="AJ11">IF(COLUMN(AO11)-COLUMN($AM11)&gt;COUNTA($AN11:$AQ11),"",INDEX($AN11:$AQ11,SMALL(IF($AN11:$AQ11&lt;&gt;"",COLUMN($AN11:$AQ11)-COLUMN($AM11),""),COLUMN(AO11)-COLUMN($AM11))))</f>
        <v>#NUM!</v>
      </c>
      <c r="AK11" s="107" t="e">
        <f t="array" ref="AK11">IF(COLUMN(AP11)-COLUMN($AM11)&gt;COUNTA($AN11:$AQ11),"",INDEX($AN11:$AQ11,SMALL(IF($AN11:$AQ11&lt;&gt;"",COLUMN($AN11:$AQ11)-COLUMN($AM11),""),COLUMN(AP11)-COLUMN($AM11))))</f>
        <v>#NUM!</v>
      </c>
      <c r="AL11" s="107" t="e">
        <f t="array" ref="AL11">IF(COLUMN(AQ11)-COLUMN($AM11)&gt;COUNTA($AN11:$AQ11),"",INDEX($AN11:$AQ11,SMALL(IF($AN11:$AQ11&lt;&gt;"",COLUMN($AN11:$AQ11)-COLUMN($AM11),""),COLUMN(AQ11)-COLUMN($AM11))))</f>
        <v>#NUM!</v>
      </c>
      <c r="AN11" s="107" t="str">
        <f>X14</f>
        <v/>
      </c>
      <c r="AO11" s="107" t="str">
        <f>X15</f>
        <v/>
      </c>
      <c r="AP11" s="107" t="str">
        <f>X16</f>
        <v/>
      </c>
      <c r="AQ11" s="107" t="str">
        <f>X17</f>
        <v/>
      </c>
      <c r="AT11" s="107" t="str">
        <f>$AN$9</f>
        <v/>
      </c>
      <c r="AU11" s="142" t="e">
        <f>AI9</f>
        <v>#NUM!</v>
      </c>
      <c r="AV11" s="142" t="str">
        <f>AD9</f>
        <v/>
      </c>
    </row>
    <row r="12" spans="1:50" x14ac:dyDescent="0.15">
      <c r="A12" s="128"/>
      <c r="C12" s="129">
        <v>7</v>
      </c>
      <c r="E12" s="414" t="str">
        <f t="shared" ca="1" si="6"/>
        <v>林</v>
      </c>
      <c r="F12" s="180">
        <f ca="1">IF(H12="","",IF(シート①入力画面!$AW$45=1,P12,F12))</f>
        <v>0.33982060492912403</v>
      </c>
      <c r="G12" s="128">
        <f t="shared" ca="1" si="0"/>
        <v>8.8726324408817669E-2</v>
      </c>
      <c r="H12" s="129" t="str">
        <f>シート①入力画面!BF77</f>
        <v>大塩</v>
      </c>
      <c r="I12" s="571" t="str">
        <f>IF(シート①入力画面!$AZ$36=1,IF(ISNA(VLOOKUP(H12,$S$6:$T$53,2,FALSE)),H12,VLOOKUP(H12,$S$6:$T$53,2,FALSE)),I12)</f>
        <v>大塩</v>
      </c>
      <c r="J12" s="128"/>
      <c r="K12" s="129" t="str">
        <f t="shared" si="1"/>
        <v/>
      </c>
      <c r="L12" s="129" t="str">
        <f t="shared" si="2"/>
        <v/>
      </c>
      <c r="N12" s="181">
        <f t="shared" ca="1" si="3"/>
        <v>0.33982060492912403</v>
      </c>
      <c r="O12" s="181">
        <f ca="1">IF(ISBLANK(R12),"",IF(シート①入力画面!$AW$45=1,P12,$O12))</f>
        <v>0.33982060492912403</v>
      </c>
      <c r="P12" s="180">
        <f t="shared" ca="1" si="4"/>
        <v>0.33982060492912403</v>
      </c>
      <c r="Q12" s="15" t="str">
        <f t="shared" si="5"/>
        <v/>
      </c>
      <c r="R12" s="176" t="str">
        <f>IF(シート①入力画面!BB76=" --","",IF(シート①入力画面!BB76="","",シート①入力画面!BB76))</f>
        <v/>
      </c>
      <c r="S12" s="571" t="str">
        <f t="array" ref="S12">IF(ROW(R12)-5&gt;(48-COUNTBLANK($R$6:$R$53)),"",INDEX($R$6:$R$53,SMALL(IF($R$6:$R$53&lt;&gt;"",ROW($R$6:$R$53)-5,""),ROW(R12)-5)))</f>
        <v/>
      </c>
      <c r="T12" s="571" t="str">
        <f>IF(シート①入力画面!$AW$45=1,IF(U12="","",VLOOKUP($U12,$K$6:$L$53,2,FALSE)),T12)</f>
        <v/>
      </c>
      <c r="U12" s="575" t="str">
        <f t="shared" si="7"/>
        <v/>
      </c>
      <c r="V12" s="173">
        <v>7</v>
      </c>
      <c r="X12" s="177" t="str">
        <f>IF(シート①入力画面!BW76=" --","",IF(シート①入力画面!BW76="","",シート①入力画面!BW76))</f>
        <v/>
      </c>
      <c r="Y12" s="96"/>
      <c r="Z12" s="130"/>
      <c r="AA12" s="15"/>
      <c r="AD12" s="129" t="e">
        <f>LARGE($AN12:$AQ12,AD$6)</f>
        <v>#NUM!</v>
      </c>
      <c r="AE12" s="129" t="e">
        <f>LARGE($AN12:$AQ12,AE$6)</f>
        <v>#NUM!</v>
      </c>
      <c r="AF12" s="129" t="e">
        <f>LARGE($AN12:$AQ12,AF$6)</f>
        <v>#NUM!</v>
      </c>
      <c r="AG12" s="129" t="e">
        <f>LARGE($AN12:$AQ12,AG$6)</f>
        <v>#NUM!</v>
      </c>
      <c r="AI12" s="107"/>
      <c r="AJ12" s="107"/>
      <c r="AK12" s="107"/>
      <c r="AL12" s="107"/>
      <c r="AN12" s="129" t="str">
        <f>IF(AN11="","",IF(AN11=シート①入力画面!$Q$23,10,VLOOKUP(AN11,集計!$B$6:$F$70,5,FALSE)))</f>
        <v/>
      </c>
      <c r="AO12" s="129" t="str">
        <f>IF(AO11="","",IF(AO11=シート①入力画面!$Q$23,10,VLOOKUP(AO11,集計!$B$6:$F$70,5,FALSE)))</f>
        <v/>
      </c>
      <c r="AP12" s="129" t="str">
        <f>IF(AP11="","",IF(AP11=シート①入力画面!$Q$23,10,VLOOKUP(AP11,集計!$B$6:$F$70,5,FALSE)))</f>
        <v/>
      </c>
      <c r="AQ12" s="129" t="str">
        <f>IF(AQ11="","",IF(AQ11=シート①入力画面!$Q$23,10,VLOOKUP(AQ11,集計!$B$6:$F$70,5,FALSE)))</f>
        <v/>
      </c>
      <c r="AT12" s="107" t="str">
        <f>$AO$9</f>
        <v/>
      </c>
      <c r="AU12" s="142" t="e">
        <f>AJ9</f>
        <v>#NUM!</v>
      </c>
      <c r="AV12" s="142" t="str">
        <f>AE9</f>
        <v/>
      </c>
    </row>
    <row r="13" spans="1:50" x14ac:dyDescent="0.15">
      <c r="A13" s="128"/>
      <c r="C13" s="129">
        <v>8</v>
      </c>
      <c r="E13" s="414" t="str">
        <f t="shared" ca="1" si="6"/>
        <v>古海</v>
      </c>
      <c r="F13" s="180">
        <f ca="1">IF(H13="","",IF(シート①入力画面!$AW$45=1,P13,F13))</f>
        <v>0.85972247849768257</v>
      </c>
      <c r="G13" s="128">
        <f t="shared" ca="1" si="0"/>
        <v>9.3441648715389958E-2</v>
      </c>
      <c r="H13" s="129" t="str">
        <f>シート①入力画面!BF78</f>
        <v>大橋</v>
      </c>
      <c r="I13" s="571" t="str">
        <f>IF(シート①入力画面!$AZ$36=1,IF(ISNA(VLOOKUP(H13,$S$6:$T$53,2,FALSE)),H13,VLOOKUP(H13,$S$6:$T$53,2,FALSE)),I13)</f>
        <v>大橋</v>
      </c>
      <c r="J13" s="128"/>
      <c r="K13" s="129" t="str">
        <f t="shared" si="1"/>
        <v/>
      </c>
      <c r="L13" s="129" t="str">
        <f t="shared" si="2"/>
        <v/>
      </c>
      <c r="N13" s="181">
        <f t="shared" ca="1" si="3"/>
        <v>0.85972247849768257</v>
      </c>
      <c r="O13" s="181">
        <f ca="1">IF(ISBLANK(R13),"",IF(シート①入力画面!$AW$45=1,P13,$O13))</f>
        <v>0.85972247849768257</v>
      </c>
      <c r="P13" s="180">
        <f t="shared" ca="1" si="4"/>
        <v>0.85972247849768257</v>
      </c>
      <c r="Q13" s="15" t="str">
        <f t="shared" si="5"/>
        <v/>
      </c>
      <c r="R13" s="176" t="str">
        <f>IF(シート①入力画面!BB77=" --","",IF(シート①入力画面!BB77="","",シート①入力画面!BB77))</f>
        <v/>
      </c>
      <c r="S13" s="571" t="str">
        <f t="array" ref="S13">IF(ROW(R13)-5&gt;(48-COUNTBLANK($R$6:$R$53)),"",INDEX($R$6:$R$53,SMALL(IF($R$6:$R$53&lt;&gt;"",ROW($R$6:$R$53)-5,""),ROW(R13)-5)))</f>
        <v/>
      </c>
      <c r="T13" s="571" t="str">
        <f>IF(シート①入力画面!$AW$45=1,IF(U13="","",VLOOKUP($U13,$K$6:$L$53,2,FALSE)),T13)</f>
        <v/>
      </c>
      <c r="U13" s="575" t="str">
        <f t="shared" si="7"/>
        <v/>
      </c>
      <c r="V13" s="173">
        <v>8</v>
      </c>
      <c r="X13" s="177" t="str">
        <f>IF(シート①入力画面!BW77=" --","",IF(シート①入力画面!BW77="","",シート①入力画面!BW77))</f>
        <v/>
      </c>
      <c r="Y13" s="96"/>
      <c r="Z13" s="130"/>
      <c r="AA13" s="15"/>
      <c r="AD13" s="107" t="str">
        <f>IF(ISERROR(INDEX($AN13:$AQ13,1,MATCH(AD14,$AN14:$AQ14,0))),"",INDEX($AN13:$AQ13,1,MATCH(AD14,$AN14:$AQ14,0)))</f>
        <v/>
      </c>
      <c r="AE13" s="107" t="str">
        <f>IF(ISERROR(INDEX($AN13:$AQ13,1,MATCH(AE14,$AN14:$AQ14,0))),"",INDEX($AN13:$AQ13,1,MATCH(AE14,$AN14:$AQ14,0)))</f>
        <v/>
      </c>
      <c r="AF13" s="107" t="str">
        <f>IF(ISERROR(INDEX($AN13:$AQ13,1,MATCH(AF14,$AN14:$AQ14,0))),"",INDEX($AN13:$AQ13,1,MATCH(AF14,$AN14:$AQ14,0)))</f>
        <v/>
      </c>
      <c r="AG13" s="107" t="str">
        <f>IF(ISERROR(INDEX($AN13:$AQ13,1,MATCH(AG14,$AN14:$AQ14,0))),"",INDEX($AN13:$AQ13,1,MATCH(AG14,$AN14:$AQ14,0)))</f>
        <v/>
      </c>
      <c r="AI13" s="107" t="e">
        <f t="array" ref="AI13">IF(COLUMN(AN13)-COLUMN($AM13)&gt;COUNTA($AN13:$AQ13),"",INDEX($AN13:$AQ13,SMALL(IF($AN13:$AQ13&lt;&gt;"",COLUMN($AN13:$AQ13)-COLUMN($AM13),""),COLUMN(AN13)-COLUMN($AM13))))</f>
        <v>#NUM!</v>
      </c>
      <c r="AJ13" s="107" t="e">
        <f t="array" ref="AJ13">IF(COLUMN(AO13)-COLUMN($AM13)&gt;COUNTA($AN13:$AQ13),"",INDEX($AN13:$AQ13,SMALL(IF($AN13:$AQ13&lt;&gt;"",COLUMN($AN13:$AQ13)-COLUMN($AM13),""),COLUMN(AO13)-COLUMN($AM13))))</f>
        <v>#NUM!</v>
      </c>
      <c r="AK13" s="107" t="e">
        <f t="array" ref="AK13">IF(COLUMN(AP13)-COLUMN($AM13)&gt;COUNTA($AN13:$AQ13),"",INDEX($AN13:$AQ13,SMALL(IF($AN13:$AQ13&lt;&gt;"",COLUMN($AN13:$AQ13)-COLUMN($AM13),""),COLUMN(AP13)-COLUMN($AM13))))</f>
        <v>#NUM!</v>
      </c>
      <c r="AL13" s="107" t="e">
        <f t="array" ref="AL13">IF(COLUMN(AQ13)-COLUMN($AM13)&gt;COUNTA($AN13:$AQ13),"",INDEX($AN13:$AQ13,SMALL(IF($AN13:$AQ13&lt;&gt;"",COLUMN($AN13:$AQ13)-COLUMN($AM13),""),COLUMN(AQ13)-COLUMN($AM13))))</f>
        <v>#NUM!</v>
      </c>
      <c r="AN13" s="107" t="str">
        <f>X18</f>
        <v/>
      </c>
      <c r="AO13" s="107" t="str">
        <f>X19</f>
        <v/>
      </c>
      <c r="AP13" s="107" t="str">
        <f>X20</f>
        <v/>
      </c>
      <c r="AQ13" s="107" t="str">
        <f>X21</f>
        <v/>
      </c>
      <c r="AT13" s="107" t="str">
        <f>$AP$9</f>
        <v/>
      </c>
      <c r="AU13" s="142" t="e">
        <f>AK9</f>
        <v>#NUM!</v>
      </c>
      <c r="AV13" s="142" t="str">
        <f>AF9</f>
        <v/>
      </c>
    </row>
    <row r="14" spans="1:50" x14ac:dyDescent="0.15">
      <c r="A14" s="128"/>
      <c r="C14" s="129">
        <v>9</v>
      </c>
      <c r="E14" s="414" t="str">
        <f t="shared" ca="1" si="6"/>
        <v>神林</v>
      </c>
      <c r="F14" s="180">
        <f ca="1">IF(H14="","",IF(シート①入力画面!$AW$45=1,P14,F14))</f>
        <v>0.95533223341269213</v>
      </c>
      <c r="G14" s="128">
        <f t="shared" ca="1" si="0"/>
        <v>9.9228628130465291E-2</v>
      </c>
      <c r="H14" s="129" t="str">
        <f>シート①入力画面!BF79</f>
        <v>岡本</v>
      </c>
      <c r="I14" s="571" t="str">
        <f>IF(シート①入力画面!$AZ$36=1,IF(ISNA(VLOOKUP(H14,$S$6:$T$53,2,FALSE)),H14,VLOOKUP(H14,$S$6:$T$53,2,FALSE)),I14)</f>
        <v>岡本</v>
      </c>
      <c r="J14" s="128"/>
      <c r="K14" s="129" t="str">
        <f t="shared" si="1"/>
        <v/>
      </c>
      <c r="L14" s="129" t="str">
        <f t="shared" si="2"/>
        <v/>
      </c>
      <c r="N14" s="181">
        <f t="shared" ca="1" si="3"/>
        <v>0.95533223341269213</v>
      </c>
      <c r="O14" s="181">
        <f ca="1">IF(ISBLANK(R14),"",IF(シート①入力画面!$AW$45=1,P14,$O14))</f>
        <v>0.95533223341269213</v>
      </c>
      <c r="P14" s="180">
        <f t="shared" ca="1" si="4"/>
        <v>0.95533223341269213</v>
      </c>
      <c r="Q14" s="15" t="str">
        <f t="shared" si="5"/>
        <v/>
      </c>
      <c r="R14" s="176" t="str">
        <f>IF(シート①入力画面!BB78=" --","",IF(シート①入力画面!BB78="","",シート①入力画面!BB78))</f>
        <v/>
      </c>
      <c r="S14" s="571" t="str">
        <f t="array" ref="S14">IF(ROW(R14)-5&gt;(48-COUNTBLANK($R$6:$R$53)),"",INDEX($R$6:$R$53,SMALL(IF($R$6:$R$53&lt;&gt;"",ROW($R$6:$R$53)-5,""),ROW(R14)-5)))</f>
        <v/>
      </c>
      <c r="T14" s="571" t="str">
        <f>IF(シート①入力画面!$AW$45=1,IF(U14="","",VLOOKUP($U14,$K$6:$L$53,2,FALSE)),T14)</f>
        <v/>
      </c>
      <c r="U14" s="575" t="str">
        <f t="shared" si="7"/>
        <v/>
      </c>
      <c r="V14" s="173">
        <v>9</v>
      </c>
      <c r="X14" s="177" t="str">
        <f>IF(シート①入力画面!BW78=" --","",IF(シート①入力画面!BW78="","",シート①入力画面!BW78))</f>
        <v/>
      </c>
      <c r="Y14" s="96"/>
      <c r="Z14" s="130"/>
      <c r="AA14" s="15"/>
      <c r="AD14" s="129" t="e">
        <f>LARGE($AN14:$AQ14,AD$6)</f>
        <v>#NUM!</v>
      </c>
      <c r="AE14" s="129" t="e">
        <f>LARGE($AN14:$AQ14,AE$6)</f>
        <v>#NUM!</v>
      </c>
      <c r="AF14" s="129" t="e">
        <f>LARGE($AN14:$AQ14,AF$6)</f>
        <v>#NUM!</v>
      </c>
      <c r="AG14" s="129" t="e">
        <f>LARGE($AN14:$AQ14,AG$6)</f>
        <v>#NUM!</v>
      </c>
      <c r="AI14" s="107"/>
      <c r="AJ14" s="107"/>
      <c r="AK14" s="107"/>
      <c r="AL14" s="107"/>
      <c r="AN14" s="129" t="str">
        <f>IF(AN13="","",IF(AN13=シート①入力画面!$Q$23,10,VLOOKUP(AN13,集計!$B$6:$F$70,5,FALSE)))</f>
        <v/>
      </c>
      <c r="AO14" s="129" t="str">
        <f>IF(AO13="","",IF(AO13=シート①入力画面!$Q$23,10,VLOOKUP(AO13,集計!$B$6:$F$70,5,FALSE)))</f>
        <v/>
      </c>
      <c r="AP14" s="129" t="str">
        <f>IF(AP13="","",IF(AP13=シート①入力画面!$Q$23,10,VLOOKUP(AP13,集計!$B$6:$F$70,5,FALSE)))</f>
        <v/>
      </c>
      <c r="AQ14" s="129" t="str">
        <f>IF(AQ13="","",IF(AQ13=シート①入力画面!$Q$23,10,VLOOKUP(AQ13,集計!$B$6:$F$70,5,FALSE)))</f>
        <v/>
      </c>
      <c r="AT14" s="107" t="str">
        <f>$AQ$9</f>
        <v/>
      </c>
      <c r="AU14" s="142" t="e">
        <f>AL9</f>
        <v>#NUM!</v>
      </c>
      <c r="AV14" s="142" t="str">
        <f>AG9</f>
        <v/>
      </c>
    </row>
    <row r="15" spans="1:50" x14ac:dyDescent="0.15">
      <c r="A15" s="128"/>
      <c r="C15" s="129">
        <v>10</v>
      </c>
      <c r="E15" s="414" t="str">
        <f t="shared" ca="1" si="6"/>
        <v>里中</v>
      </c>
      <c r="F15" s="180">
        <f ca="1">IF(H15="","",IF(シート①入力画面!$AW$45=1,P15,F15))</f>
        <v>0.67028372015508908</v>
      </c>
      <c r="G15" s="128">
        <f t="shared" ca="1" si="0"/>
        <v>0.10321761011697128</v>
      </c>
      <c r="H15" s="129" t="str">
        <f>シート①入力画面!BF80</f>
        <v>興津</v>
      </c>
      <c r="I15" s="571" t="str">
        <f>IF(シート①入力画面!$AZ$36=1,IF(ISNA(VLOOKUP(H15,$S$6:$T$53,2,FALSE)),H15,VLOOKUP(H15,$S$6:$T$53,2,FALSE)),I15)</f>
        <v>興津</v>
      </c>
      <c r="J15" s="128"/>
      <c r="K15" s="129" t="str">
        <f t="shared" si="1"/>
        <v/>
      </c>
      <c r="L15" s="129" t="str">
        <f t="shared" si="2"/>
        <v/>
      </c>
      <c r="N15" s="181">
        <f t="shared" ca="1" si="3"/>
        <v>0.67028372015508908</v>
      </c>
      <c r="O15" s="181">
        <f ca="1">IF(ISBLANK(R15),"",IF(シート①入力画面!$AW$45=1,P15,$O15))</f>
        <v>0.67028372015508908</v>
      </c>
      <c r="P15" s="180">
        <f t="shared" ca="1" si="4"/>
        <v>0.67028372015508908</v>
      </c>
      <c r="Q15" s="15" t="str">
        <f t="shared" si="5"/>
        <v/>
      </c>
      <c r="R15" s="176" t="str">
        <f>IF(シート①入力画面!BB79=" --","",IF(シート①入力画面!BB79="","",シート①入力画面!BB79))</f>
        <v/>
      </c>
      <c r="S15" s="571" t="str">
        <f t="array" ref="S15">IF(ROW(R15)-5&gt;(48-COUNTBLANK($R$6:$R$53)),"",INDEX($R$6:$R$53,SMALL(IF($R$6:$R$53&lt;&gt;"",ROW($R$6:$R$53)-5,""),ROW(R15)-5)))</f>
        <v/>
      </c>
      <c r="T15" s="571" t="str">
        <f>IF(シート①入力画面!$AW$45=1,IF(U15="","",VLOOKUP($U15,$K$6:$L$53,2,FALSE)),T15)</f>
        <v/>
      </c>
      <c r="U15" s="575" t="str">
        <f t="shared" si="7"/>
        <v/>
      </c>
      <c r="V15" s="173">
        <v>10</v>
      </c>
      <c r="X15" s="177" t="str">
        <f>IF(シート①入力画面!BW79=" --","",IF(シート①入力画面!BW79="","",シート①入力画面!BW79))</f>
        <v/>
      </c>
      <c r="Y15" s="96"/>
      <c r="Z15" s="130"/>
      <c r="AA15" s="15"/>
      <c r="AD15" s="107" t="str">
        <f>IF(ISERROR(INDEX($AN15:$AQ15,1,MATCH(AD16,$AN16:$AQ16,0))),"",INDEX($AN15:$AQ15,1,MATCH(AD16,$AN16:$AQ16,0)))</f>
        <v/>
      </c>
      <c r="AE15" s="107" t="str">
        <f>IF(ISERROR(INDEX($AN15:$AQ15,1,MATCH(AE16,$AN16:$AQ16,0))),"",INDEX($AN15:$AQ15,1,MATCH(AE16,$AN16:$AQ16,0)))</f>
        <v/>
      </c>
      <c r="AF15" s="107" t="str">
        <f>IF(ISERROR(INDEX($AN15:$AQ15,1,MATCH(AF16,$AN16:$AQ16,0))),"",INDEX($AN15:$AQ15,1,MATCH(AF16,$AN16:$AQ16,0)))</f>
        <v/>
      </c>
      <c r="AG15" s="107" t="str">
        <f>IF(ISERROR(INDEX($AN15:$AQ15,1,MATCH(AG16,$AN16:$AQ16,0))),"",INDEX($AN15:$AQ15,1,MATCH(AG16,$AN16:$AQ16,0)))</f>
        <v/>
      </c>
      <c r="AI15" s="107" t="e">
        <f t="array" ref="AI15">IF(COLUMN(AN15)-COLUMN($AM15)&gt;COUNTA($AN15:$AQ15),"",INDEX($AN15:$AQ15,SMALL(IF($AN15:$AQ15&lt;&gt;"",COLUMN($AN15:$AQ15)-COLUMN($AM15),""),COLUMN(AN15)-COLUMN($AM15))))</f>
        <v>#NUM!</v>
      </c>
      <c r="AJ15" s="107" t="e">
        <f t="array" ref="AJ15">IF(COLUMN(AO15)-COLUMN($AM15)&gt;COUNTA($AN15:$AQ15),"",INDEX($AN15:$AQ15,SMALL(IF($AN15:$AQ15&lt;&gt;"",COLUMN($AN15:$AQ15)-COLUMN($AM15),""),COLUMN(AO15)-COLUMN($AM15))))</f>
        <v>#NUM!</v>
      </c>
      <c r="AK15" s="107" t="e">
        <f t="array" ref="AK15">IF(COLUMN(AP15)-COLUMN($AM15)&gt;COUNTA($AN15:$AQ15),"",INDEX($AN15:$AQ15,SMALL(IF($AN15:$AQ15&lt;&gt;"",COLUMN($AN15:$AQ15)-COLUMN($AM15),""),COLUMN(AP15)-COLUMN($AM15))))</f>
        <v>#NUM!</v>
      </c>
      <c r="AL15" s="107" t="e">
        <f t="array" ref="AL15">IF(COLUMN(AQ15)-COLUMN($AM15)&gt;COUNTA($AN15:$AQ15),"",INDEX($AN15:$AQ15,SMALL(IF($AN15:$AQ15&lt;&gt;"",COLUMN($AN15:$AQ15)-COLUMN($AM15),""),COLUMN(AQ15)-COLUMN($AM15))))</f>
        <v>#NUM!</v>
      </c>
      <c r="AN15" s="107" t="str">
        <f>X22</f>
        <v/>
      </c>
      <c r="AO15" s="107" t="str">
        <f>X23</f>
        <v/>
      </c>
      <c r="AP15" s="107" t="str">
        <f>X24</f>
        <v/>
      </c>
      <c r="AQ15" s="107" t="str">
        <f>X25</f>
        <v/>
      </c>
      <c r="AT15" s="107" t="str">
        <f>$AN$11</f>
        <v/>
      </c>
      <c r="AU15" s="142" t="e">
        <f>AI11</f>
        <v>#NUM!</v>
      </c>
      <c r="AV15" s="142" t="str">
        <f>AD11</f>
        <v/>
      </c>
    </row>
    <row r="16" spans="1:50" x14ac:dyDescent="0.15">
      <c r="A16" s="128"/>
      <c r="C16" s="129">
        <v>11</v>
      </c>
      <c r="E16" s="414" t="str">
        <f t="shared" ca="1" si="6"/>
        <v>塚越</v>
      </c>
      <c r="F16" s="180">
        <f ca="1">IF(H16="","",IF(シート①入力画面!$AW$45=1,P16,F16))</f>
        <v>0.62432864725594839</v>
      </c>
      <c r="G16" s="128">
        <f t="shared" ca="1" si="0"/>
        <v>0.14434639561162221</v>
      </c>
      <c r="H16" s="129" t="str">
        <f>シート①入力画面!BF81</f>
        <v>奥原</v>
      </c>
      <c r="I16" s="571" t="str">
        <f>IF(シート①入力画面!$AZ$36=1,IF(ISNA(VLOOKUP(H16,$S$6:$T$53,2,FALSE)),H16,VLOOKUP(H16,$S$6:$T$53,2,FALSE)),I16)</f>
        <v>奥原</v>
      </c>
      <c r="J16" s="128"/>
      <c r="K16" s="129" t="str">
        <f t="shared" si="1"/>
        <v/>
      </c>
      <c r="L16" s="129" t="str">
        <f t="shared" si="2"/>
        <v/>
      </c>
      <c r="N16" s="181">
        <f t="shared" ca="1" si="3"/>
        <v>0.62432864725594839</v>
      </c>
      <c r="O16" s="181">
        <f ca="1">IF(ISBLANK(R16),"",IF(シート①入力画面!$AW$45=1,P16,$O16))</f>
        <v>0.62432864725594839</v>
      </c>
      <c r="P16" s="180">
        <f t="shared" ca="1" si="4"/>
        <v>0.62432864725594839</v>
      </c>
      <c r="Q16" s="15" t="str">
        <f t="shared" si="5"/>
        <v/>
      </c>
      <c r="R16" s="176" t="str">
        <f>IF(シート①入力画面!BB80=" --","",IF(シート①入力画面!BB80="","",シート①入力画面!BB80))</f>
        <v/>
      </c>
      <c r="S16" s="571" t="str">
        <f t="array" ref="S16">IF(ROW(R16)-5&gt;(48-COUNTBLANK($R$6:$R$53)),"",INDEX($R$6:$R$53,SMALL(IF($R$6:$R$53&lt;&gt;"",ROW($R$6:$R$53)-5,""),ROW(R16)-5)))</f>
        <v/>
      </c>
      <c r="T16" s="571" t="str">
        <f>IF(シート①入力画面!$AW$45=1,IF(U16="","",VLOOKUP($U16,$K$6:$L$53,2,FALSE)),T16)</f>
        <v/>
      </c>
      <c r="U16" s="575" t="str">
        <f t="shared" si="7"/>
        <v/>
      </c>
      <c r="V16" s="173">
        <v>11</v>
      </c>
      <c r="X16" s="177" t="str">
        <f>IF(シート①入力画面!BW80=" --","",IF(シート①入力画面!BW80="","",シート①入力画面!BW80))</f>
        <v/>
      </c>
      <c r="Y16" s="96"/>
      <c r="Z16" s="130"/>
      <c r="AA16" s="15"/>
      <c r="AD16" s="129" t="e">
        <f>LARGE($AN16:$AQ16,AD$6)</f>
        <v>#NUM!</v>
      </c>
      <c r="AE16" s="129" t="e">
        <f>LARGE($AN16:$AQ16,AE$6)</f>
        <v>#NUM!</v>
      </c>
      <c r="AF16" s="129" t="e">
        <f>LARGE($AN16:$AQ16,AF$6)</f>
        <v>#NUM!</v>
      </c>
      <c r="AG16" s="129" t="e">
        <f>LARGE($AN16:$AQ16,AG$6)</f>
        <v>#NUM!</v>
      </c>
      <c r="AI16" s="107"/>
      <c r="AJ16" s="107"/>
      <c r="AK16" s="107"/>
      <c r="AL16" s="107"/>
      <c r="AN16" s="129" t="str">
        <f>IF(AN15="","",IF(AN15=シート①入力画面!$Q$23,10,VLOOKUP(AN15,集計!$B$6:$F$70,5,FALSE)))</f>
        <v/>
      </c>
      <c r="AO16" s="129" t="str">
        <f>IF(AO15="","",IF(AO15=シート①入力画面!$Q$23,10,VLOOKUP(AO15,集計!$B$6:$F$70,5,FALSE)))</f>
        <v/>
      </c>
      <c r="AP16" s="129" t="str">
        <f>IF(AP15="","",IF(AP15=シート①入力画面!$Q$23,10,VLOOKUP(AP15,集計!$B$6:$F$70,5,FALSE)))</f>
        <v/>
      </c>
      <c r="AQ16" s="129" t="str">
        <f>IF(AQ15="","",IF(AQ15=シート①入力画面!$Q$23,10,VLOOKUP(AQ15,集計!$B$6:$F$70,5,FALSE)))</f>
        <v/>
      </c>
      <c r="AT16" s="107" t="str">
        <f>$AO$11</f>
        <v/>
      </c>
      <c r="AU16" s="142" t="e">
        <f>AJ11</f>
        <v>#NUM!</v>
      </c>
      <c r="AV16" s="142" t="str">
        <f>AE11</f>
        <v/>
      </c>
    </row>
    <row r="17" spans="1:48" x14ac:dyDescent="0.15">
      <c r="A17" s="128"/>
      <c r="C17" s="129">
        <v>12</v>
      </c>
      <c r="E17" s="414" t="str">
        <f t="shared" ca="1" si="6"/>
        <v>近藤裕</v>
      </c>
      <c r="F17" s="180">
        <f ca="1">IF(H17="","",IF(シート①入力画面!$AW$45=1,P17,F17))</f>
        <v>0.47265361589130661</v>
      </c>
      <c r="G17" s="128">
        <f t="shared" ca="1" si="0"/>
        <v>0.15550359661009616</v>
      </c>
      <c r="H17" s="129" t="str">
        <f>シート①入力画面!BF82</f>
        <v>小倉</v>
      </c>
      <c r="I17" s="571" t="str">
        <f>IF(シート①入力画面!$AZ$36=1,IF(ISNA(VLOOKUP(H17,$S$6:$T$53,2,FALSE)),H17,VLOOKUP(H17,$S$6:$T$53,2,FALSE)),I17)</f>
        <v>小倉</v>
      </c>
      <c r="J17" s="128"/>
      <c r="K17" s="129" t="str">
        <f t="shared" si="1"/>
        <v/>
      </c>
      <c r="L17" s="129" t="str">
        <f t="shared" si="2"/>
        <v/>
      </c>
      <c r="N17" s="181">
        <f t="shared" ca="1" si="3"/>
        <v>0.47265361589130661</v>
      </c>
      <c r="O17" s="181">
        <f ca="1">IF(ISBLANK(R17),"",IF(シート①入力画面!$AW$45=1,P17,$O17))</f>
        <v>0.47265361589130661</v>
      </c>
      <c r="P17" s="180">
        <f t="shared" ca="1" si="4"/>
        <v>0.47265361589130661</v>
      </c>
      <c r="Q17" s="15" t="str">
        <f t="shared" si="5"/>
        <v/>
      </c>
      <c r="R17" s="176" t="str">
        <f>IF(シート①入力画面!BB81=" --","",IF(シート①入力画面!BB81="","",シート①入力画面!BB81))</f>
        <v/>
      </c>
      <c r="S17" s="571" t="str">
        <f t="array" ref="S17">IF(ROW(R17)-5&gt;(48-COUNTBLANK($R$6:$R$53)),"",INDEX($R$6:$R$53,SMALL(IF($R$6:$R$53&lt;&gt;"",ROW($R$6:$R$53)-5,""),ROW(R17)-5)))</f>
        <v/>
      </c>
      <c r="T17" s="571" t="str">
        <f>IF(シート①入力画面!$AW$45=1,IF(U17="","",VLOOKUP($U17,$K$6:$L$53,2,FALSE)),T17)</f>
        <v/>
      </c>
      <c r="U17" s="575" t="str">
        <f t="shared" si="7"/>
        <v/>
      </c>
      <c r="V17" s="173">
        <v>12</v>
      </c>
      <c r="X17" s="177" t="str">
        <f>IF(シート①入力画面!BW81=" --","",IF(シート①入力画面!BW81="","",シート①入力画面!BW81))</f>
        <v/>
      </c>
      <c r="Y17" s="96"/>
      <c r="Z17" s="130"/>
      <c r="AA17" s="15"/>
      <c r="AD17" s="107" t="str">
        <f>IF(ISERROR(INDEX($AN17:$AQ17,1,MATCH(AD18,$AN18:$AQ18,0))),"",INDEX($AN17:$AQ17,1,MATCH(AD18,$AN18:$AQ18,0)))</f>
        <v/>
      </c>
      <c r="AE17" s="107" t="str">
        <f>IF(ISERROR(INDEX($AN17:$AQ17,1,MATCH(AE18,$AN18:$AQ18,0))),"",INDEX($AN17:$AQ17,1,MATCH(AE18,$AN18:$AQ18,0)))</f>
        <v/>
      </c>
      <c r="AF17" s="107" t="str">
        <f>IF(ISERROR(INDEX($AN17:$AQ17,1,MATCH(AF18,$AN18:$AQ18,0))),"",INDEX($AN17:$AQ17,1,MATCH(AF18,$AN18:$AQ18,0)))</f>
        <v/>
      </c>
      <c r="AG17" s="107" t="str">
        <f>IF(ISERROR(INDEX($AN17:$AQ17,1,MATCH(AG18,$AN18:$AQ18,0))),"",INDEX($AN17:$AQ17,1,MATCH(AG18,$AN18:$AQ18,0)))</f>
        <v/>
      </c>
      <c r="AI17" s="107" t="e">
        <f t="array" ref="AI17">IF(COLUMN(AN17)-COLUMN($AM17)&gt;COUNTA($AN17:$AQ17),"",INDEX($AN17:$AQ17,SMALL(IF($AN17:$AQ17&lt;&gt;"",COLUMN($AN17:$AQ17)-COLUMN($AM17),""),COLUMN(AN17)-COLUMN($AM17))))</f>
        <v>#NUM!</v>
      </c>
      <c r="AJ17" s="107" t="e">
        <f t="array" ref="AJ17">IF(COLUMN(AO17)-COLUMN($AM17)&gt;COUNTA($AN17:$AQ17),"",INDEX($AN17:$AQ17,SMALL(IF($AN17:$AQ17&lt;&gt;"",COLUMN($AN17:$AQ17)-COLUMN($AM17),""),COLUMN(AO17)-COLUMN($AM17))))</f>
        <v>#NUM!</v>
      </c>
      <c r="AK17" s="107" t="e">
        <f t="array" ref="AK17">IF(COLUMN(AP17)-COLUMN($AM17)&gt;COUNTA($AN17:$AQ17),"",INDEX($AN17:$AQ17,SMALL(IF($AN17:$AQ17&lt;&gt;"",COLUMN($AN17:$AQ17)-COLUMN($AM17),""),COLUMN(AP17)-COLUMN($AM17))))</f>
        <v>#NUM!</v>
      </c>
      <c r="AL17" s="107" t="e">
        <f t="array" ref="AL17">IF(COLUMN(AQ17)-COLUMN($AM17)&gt;COUNTA($AN17:$AQ17),"",INDEX($AN17:$AQ17,SMALL(IF($AN17:$AQ17&lt;&gt;"",COLUMN($AN17:$AQ17)-COLUMN($AM17),""),COLUMN(AQ17)-COLUMN($AM17))))</f>
        <v>#NUM!</v>
      </c>
      <c r="AN17" s="107" t="str">
        <f>X26</f>
        <v/>
      </c>
      <c r="AO17" s="107" t="str">
        <f>X27</f>
        <v/>
      </c>
      <c r="AP17" s="107" t="str">
        <f>X28</f>
        <v/>
      </c>
      <c r="AQ17" s="107" t="str">
        <f>X29</f>
        <v/>
      </c>
      <c r="AT17" s="107" t="str">
        <f>$AP$11</f>
        <v/>
      </c>
      <c r="AU17" s="142" t="e">
        <f>AK11</f>
        <v>#NUM!</v>
      </c>
      <c r="AV17" s="142" t="str">
        <f>AF11</f>
        <v/>
      </c>
    </row>
    <row r="18" spans="1:48" x14ac:dyDescent="0.15">
      <c r="A18" s="128"/>
      <c r="C18" s="129">
        <v>13</v>
      </c>
      <c r="E18" s="414" t="str">
        <f t="shared" ca="1" si="6"/>
        <v>三井</v>
      </c>
      <c r="F18" s="180">
        <f ca="1">IF(H18="","",IF(シート①入力画面!$AW$45=1,P18,F18))</f>
        <v>0.86401558605402862</v>
      </c>
      <c r="G18" s="128">
        <f t="shared" ca="1" si="0"/>
        <v>0.15563900455053647</v>
      </c>
      <c r="H18" s="129" t="str">
        <f>シート①入力画面!BF83</f>
        <v>小野山</v>
      </c>
      <c r="I18" s="571" t="str">
        <f>IF(シート①入力画面!$AZ$36=1,IF(ISNA(VLOOKUP(H18,$S$6:$T$53,2,FALSE)),H18,VLOOKUP(H18,$S$6:$T$53,2,FALSE)),I18)</f>
        <v>小野山</v>
      </c>
      <c r="J18" s="128"/>
      <c r="K18" s="129" t="str">
        <f t="shared" si="1"/>
        <v/>
      </c>
      <c r="L18" s="129" t="str">
        <f t="shared" si="2"/>
        <v/>
      </c>
      <c r="N18" s="181">
        <f t="shared" ca="1" si="3"/>
        <v>0.86401558605402862</v>
      </c>
      <c r="O18" s="181">
        <f ca="1">IF(ISBLANK(R18),"",IF(シート①入力画面!$AW$45=1,P18,$O18))</f>
        <v>0.86401558605402862</v>
      </c>
      <c r="P18" s="180">
        <f t="shared" ca="1" si="4"/>
        <v>0.86401558605402862</v>
      </c>
      <c r="Q18" s="15" t="str">
        <f t="shared" si="5"/>
        <v/>
      </c>
      <c r="R18" s="176" t="str">
        <f>IF(シート①入力画面!BB82=" --","",IF(シート①入力画面!BB82="","",シート①入力画面!BB82))</f>
        <v/>
      </c>
      <c r="S18" s="571" t="str">
        <f t="array" ref="S18">IF(ROW(R18)-5&gt;(48-COUNTBLANK($R$6:$R$53)),"",INDEX($R$6:$R$53,SMALL(IF($R$6:$R$53&lt;&gt;"",ROW($R$6:$R$53)-5,""),ROW(R18)-5)))</f>
        <v/>
      </c>
      <c r="T18" s="571" t="str">
        <f>IF(シート①入力画面!$AW$45=1,IF(U18="","",VLOOKUP($U18,$K$6:$L$53,2,FALSE)),T18)</f>
        <v/>
      </c>
      <c r="U18" s="575" t="str">
        <f t="shared" si="7"/>
        <v/>
      </c>
      <c r="V18" s="173">
        <v>13</v>
      </c>
      <c r="X18" s="177" t="str">
        <f>IF(シート①入力画面!BW82=" --","",IF(シート①入力画面!BW82="","",シート①入力画面!BW82))</f>
        <v/>
      </c>
      <c r="Y18" s="96"/>
      <c r="Z18" s="130"/>
      <c r="AA18" s="15"/>
      <c r="AD18" s="129" t="e">
        <f>LARGE($AN18:$AQ18,AD$6)</f>
        <v>#NUM!</v>
      </c>
      <c r="AE18" s="129" t="e">
        <f>LARGE($AN18:$AQ18,AE$6)</f>
        <v>#NUM!</v>
      </c>
      <c r="AF18" s="129" t="e">
        <f>LARGE($AN18:$AQ18,AF$6)</f>
        <v>#NUM!</v>
      </c>
      <c r="AG18" s="129" t="e">
        <f>LARGE($AN18:$AQ18,AG$6)</f>
        <v>#NUM!</v>
      </c>
      <c r="AI18" s="107"/>
      <c r="AJ18" s="107"/>
      <c r="AK18" s="107"/>
      <c r="AL18" s="107"/>
      <c r="AN18" s="129" t="str">
        <f>IF(AN17="","",IF(AN17=シート①入力画面!$Q$23,10,VLOOKUP(AN17,集計!$B$6:$F$70,5,FALSE)))</f>
        <v/>
      </c>
      <c r="AO18" s="129" t="str">
        <f>IF(AO17="","",IF(AO17=シート①入力画面!$Q$23,10,VLOOKUP(AO17,集計!$B$6:$F$70,5,FALSE)))</f>
        <v/>
      </c>
      <c r="AP18" s="129" t="str">
        <f>IF(AP17="","",IF(AP17=シート①入力画面!$Q$23,10,VLOOKUP(AP17,集計!$B$6:$F$70,5,FALSE)))</f>
        <v/>
      </c>
      <c r="AQ18" s="129" t="str">
        <f>IF(AQ17="","",IF(AQ17=シート①入力画面!$Q$23,10,VLOOKUP(AQ17,集計!$B$6:$F$70,5,FALSE)))</f>
        <v/>
      </c>
      <c r="AT18" s="107" t="str">
        <f>$AQ$11</f>
        <v/>
      </c>
      <c r="AU18" s="142" t="e">
        <f>AL11</f>
        <v>#NUM!</v>
      </c>
      <c r="AV18" s="142" t="str">
        <f>AG11</f>
        <v/>
      </c>
    </row>
    <row r="19" spans="1:48" x14ac:dyDescent="0.15">
      <c r="A19" s="128"/>
      <c r="C19" s="129">
        <v>14</v>
      </c>
      <c r="E19" s="414" t="str">
        <f t="shared" ca="1" si="6"/>
        <v>佐土原</v>
      </c>
      <c r="F19" s="180">
        <f ca="1">IF(H19="","",IF(シート①入力画面!$AW$45=1,P19,F19))</f>
        <v>0.89083082668278524</v>
      </c>
      <c r="G19" s="128">
        <f t="shared" ca="1" si="0"/>
        <v>0.20645022854323014</v>
      </c>
      <c r="H19" s="129" t="str">
        <f>シート①入力画面!BF84</f>
        <v>笠原</v>
      </c>
      <c r="I19" s="571" t="str">
        <f>IF(シート①入力画面!$AZ$36=1,IF(ISNA(VLOOKUP(H19,$S$6:$T$53,2,FALSE)),H19,VLOOKUP(H19,$S$6:$T$53,2,FALSE)),I19)</f>
        <v>笠原</v>
      </c>
      <c r="J19" s="128"/>
      <c r="K19" s="129" t="str">
        <f t="shared" si="1"/>
        <v/>
      </c>
      <c r="L19" s="129" t="str">
        <f t="shared" si="2"/>
        <v/>
      </c>
      <c r="N19" s="181">
        <f t="shared" ca="1" si="3"/>
        <v>0.89083082668278524</v>
      </c>
      <c r="O19" s="181">
        <f ca="1">IF(ISBLANK(R19),"",IF(シート①入力画面!$AW$45=1,P19,$O19))</f>
        <v>0.89083082668278524</v>
      </c>
      <c r="P19" s="180">
        <f t="shared" ca="1" si="4"/>
        <v>0.89083082668278524</v>
      </c>
      <c r="Q19" s="15" t="str">
        <f t="shared" si="5"/>
        <v/>
      </c>
      <c r="R19" s="176" t="str">
        <f>IF(シート①入力画面!BB83=" --","",IF(シート①入力画面!BB83="","",シート①入力画面!BB83))</f>
        <v/>
      </c>
      <c r="S19" s="571" t="str">
        <f t="array" ref="S19">IF(ROW(R19)-5&gt;(48-COUNTBLANK($R$6:$R$53)),"",INDEX($R$6:$R$53,SMALL(IF($R$6:$R$53&lt;&gt;"",ROW($R$6:$R$53)-5,""),ROW(R19)-5)))</f>
        <v/>
      </c>
      <c r="T19" s="571" t="str">
        <f>IF(シート①入力画面!$AW$45=1,IF(U19="","",VLOOKUP($U19,$K$6:$L$53,2,FALSE)),T19)</f>
        <v/>
      </c>
      <c r="U19" s="575" t="str">
        <f t="shared" si="7"/>
        <v/>
      </c>
      <c r="V19" s="173">
        <v>14</v>
      </c>
      <c r="X19" s="177" t="str">
        <f>IF(シート①入力画面!BW83=" --","",IF(シート①入力画面!BW83="","",シート①入力画面!BW83))</f>
        <v/>
      </c>
      <c r="Y19" s="96"/>
      <c r="Z19" s="130"/>
      <c r="AA19" s="15"/>
      <c r="AD19" s="107" t="str">
        <f>IF(ISERROR(INDEX($AN19:$AQ19,1,MATCH(AD20,$AN20:$AQ20,0))),"",INDEX($AN19:$AQ19,1,MATCH(AD20,$AN20:$AQ20,0)))</f>
        <v/>
      </c>
      <c r="AE19" s="107" t="str">
        <f>IF(ISERROR(INDEX($AN19:$AQ19,1,MATCH(AE20,$AN20:$AQ20,0))),"",INDEX($AN19:$AQ19,1,MATCH(AE20,$AN20:$AQ20,0)))</f>
        <v/>
      </c>
      <c r="AF19" s="107" t="str">
        <f>IF(ISERROR(INDEX($AN19:$AQ19,1,MATCH(AF20,$AN20:$AQ20,0))),"",INDEX($AN19:$AQ19,1,MATCH(AF20,$AN20:$AQ20,0)))</f>
        <v/>
      </c>
      <c r="AG19" s="107" t="str">
        <f>IF(ISERROR(INDEX($AN19:$AQ19,1,MATCH(AG20,$AN20:$AQ20,0))),"",INDEX($AN19:$AQ19,1,MATCH(AG20,$AN20:$AQ20,0)))</f>
        <v/>
      </c>
      <c r="AI19" s="107" t="e">
        <f t="array" ref="AI19">IF(COLUMN(AN19)-COLUMN($AM19)&gt;COUNTA($AN19:$AQ19),"",INDEX($AN19:$AQ19,SMALL(IF($AN19:$AQ19&lt;&gt;"",COLUMN($AN19:$AQ19)-COLUMN($AM19),""),COLUMN(AN19)-COLUMN($AM19))))</f>
        <v>#NUM!</v>
      </c>
      <c r="AJ19" s="107" t="e">
        <f t="array" ref="AJ19">IF(COLUMN(AO19)-COLUMN($AM19)&gt;COUNTA($AN19:$AQ19),"",INDEX($AN19:$AQ19,SMALL(IF($AN19:$AQ19&lt;&gt;"",COLUMN($AN19:$AQ19)-COLUMN($AM19),""),COLUMN(AO19)-COLUMN($AM19))))</f>
        <v>#NUM!</v>
      </c>
      <c r="AK19" s="107" t="e">
        <f t="array" ref="AK19">IF(COLUMN(AP19)-COLUMN($AM19)&gt;COUNTA($AN19:$AQ19),"",INDEX($AN19:$AQ19,SMALL(IF($AN19:$AQ19&lt;&gt;"",COLUMN($AN19:$AQ19)-COLUMN($AM19),""),COLUMN(AP19)-COLUMN($AM19))))</f>
        <v>#NUM!</v>
      </c>
      <c r="AL19" s="107" t="e">
        <f t="array" ref="AL19">IF(COLUMN(AQ19)-COLUMN($AM19)&gt;COUNTA($AN19:$AQ19),"",INDEX($AN19:$AQ19,SMALL(IF($AN19:$AQ19&lt;&gt;"",COLUMN($AN19:$AQ19)-COLUMN($AM19),""),COLUMN(AQ19)-COLUMN($AM19))))</f>
        <v>#NUM!</v>
      </c>
      <c r="AN19" s="107" t="str">
        <f>X30</f>
        <v/>
      </c>
      <c r="AO19" s="107" t="str">
        <f>X31</f>
        <v/>
      </c>
      <c r="AP19" s="107" t="str">
        <f>X32</f>
        <v/>
      </c>
      <c r="AQ19" s="107" t="str">
        <f>X33</f>
        <v/>
      </c>
      <c r="AT19" s="107" t="str">
        <f>$AN$13</f>
        <v/>
      </c>
      <c r="AU19" s="142" t="e">
        <f>AI13</f>
        <v>#NUM!</v>
      </c>
      <c r="AV19" s="142" t="str">
        <f>AD13</f>
        <v/>
      </c>
    </row>
    <row r="20" spans="1:48" x14ac:dyDescent="0.15">
      <c r="A20" s="128"/>
      <c r="C20" s="129">
        <v>15</v>
      </c>
      <c r="E20" s="414" t="str">
        <f t="shared" ca="1" si="6"/>
        <v>郷間</v>
      </c>
      <c r="F20" s="180">
        <f ca="1">IF(H20="","",IF(シート①入力画面!$AW$45=1,P20,F20))</f>
        <v>0.78480648031622868</v>
      </c>
      <c r="G20" s="128">
        <f t="shared" ca="1" si="0"/>
        <v>0.24548799793012832</v>
      </c>
      <c r="H20" s="129" t="str">
        <f>シート①入力画面!BF85</f>
        <v>勝田</v>
      </c>
      <c r="I20" s="571" t="str">
        <f>IF(シート①入力画面!$AZ$36=1,IF(ISNA(VLOOKUP(H20,$S$6:$T$53,2,FALSE)),H20,VLOOKUP(H20,$S$6:$T$53,2,FALSE)),I20)</f>
        <v>勝田</v>
      </c>
      <c r="J20" s="128"/>
      <c r="K20" s="129" t="str">
        <f t="shared" si="1"/>
        <v/>
      </c>
      <c r="L20" s="129" t="str">
        <f t="shared" si="2"/>
        <v/>
      </c>
      <c r="N20" s="181">
        <f t="shared" ca="1" si="3"/>
        <v>0.78480648031622868</v>
      </c>
      <c r="O20" s="181">
        <f ca="1">IF(ISBLANK(R20),"",IF(シート①入力画面!$AW$45=1,P20,$O20))</f>
        <v>0.78480648031622868</v>
      </c>
      <c r="P20" s="180">
        <f t="shared" ca="1" si="4"/>
        <v>0.78480648031622868</v>
      </c>
      <c r="Q20" s="15" t="str">
        <f t="shared" si="5"/>
        <v/>
      </c>
      <c r="R20" s="176" t="str">
        <f>IF(シート①入力画面!BB84=" --","",IF(シート①入力画面!BB84="","",シート①入力画面!BB84))</f>
        <v/>
      </c>
      <c r="S20" s="571" t="str">
        <f t="array" ref="S20">IF(ROW(R20)-5&gt;(48-COUNTBLANK($R$6:$R$53)),"",INDEX($R$6:$R$53,SMALL(IF($R$6:$R$53&lt;&gt;"",ROW($R$6:$R$53)-5,""),ROW(R20)-5)))</f>
        <v/>
      </c>
      <c r="T20" s="571" t="str">
        <f>IF(シート①入力画面!$AW$45=1,IF(U20="","",VLOOKUP($U20,$K$6:$L$53,2,FALSE)),T20)</f>
        <v/>
      </c>
      <c r="U20" s="575" t="str">
        <f t="shared" si="7"/>
        <v/>
      </c>
      <c r="V20" s="173">
        <v>15</v>
      </c>
      <c r="X20" s="177" t="str">
        <f>IF(シート①入力画面!BW84=" --","",IF(シート①入力画面!BW84="","",シート①入力画面!BW84))</f>
        <v/>
      </c>
      <c r="Y20" s="96"/>
      <c r="Z20" s="130"/>
      <c r="AA20" s="15"/>
      <c r="AD20" s="129" t="e">
        <f>LARGE($AN20:$AQ20,AD$6)</f>
        <v>#NUM!</v>
      </c>
      <c r="AE20" s="129" t="e">
        <f>LARGE($AN20:$AQ20,AE$6)</f>
        <v>#NUM!</v>
      </c>
      <c r="AF20" s="129" t="e">
        <f>LARGE($AN20:$AQ20,AF$6)</f>
        <v>#NUM!</v>
      </c>
      <c r="AG20" s="129" t="e">
        <f>LARGE($AN20:$AQ20,AG$6)</f>
        <v>#NUM!</v>
      </c>
      <c r="AI20" s="107"/>
      <c r="AJ20" s="107"/>
      <c r="AK20" s="107"/>
      <c r="AL20" s="107"/>
      <c r="AN20" s="129" t="str">
        <f>IF(AN19="","",IF(AN19=シート①入力画面!$Q$23,10,VLOOKUP(AN19,集計!$B$6:$F$70,5,FALSE)))</f>
        <v/>
      </c>
      <c r="AO20" s="129" t="str">
        <f>IF(AO19="","",IF(AO19=シート①入力画面!$Q$23,10,VLOOKUP(AO19,集計!$B$6:$F$70,5,FALSE)))</f>
        <v/>
      </c>
      <c r="AP20" s="129" t="str">
        <f>IF(AP19="","",IF(AP19=シート①入力画面!$Q$23,10,VLOOKUP(AP19,集計!$B$6:$F$70,5,FALSE)))</f>
        <v/>
      </c>
      <c r="AQ20" s="129" t="str">
        <f>IF(AQ19="","",IF(AQ19=シート①入力画面!$Q$23,10,VLOOKUP(AQ19,集計!$B$6:$F$70,5,FALSE)))</f>
        <v/>
      </c>
      <c r="AT20" s="107" t="str">
        <f>$AO$13</f>
        <v/>
      </c>
      <c r="AU20" s="142" t="e">
        <f>AJ13</f>
        <v>#NUM!</v>
      </c>
      <c r="AV20" s="142" t="str">
        <f>AE13</f>
        <v/>
      </c>
    </row>
    <row r="21" spans="1:48" x14ac:dyDescent="0.15">
      <c r="A21" s="128"/>
      <c r="C21" s="129">
        <v>16</v>
      </c>
      <c r="E21" s="414" t="str">
        <f t="shared" ca="1" si="6"/>
        <v>奈良</v>
      </c>
      <c r="F21" s="180">
        <f ca="1">IF(H21="","",IF(シート①入力画面!$AW$45=1,P21,F21))</f>
        <v>0.67858532698540763</v>
      </c>
      <c r="G21" s="128">
        <f t="shared" ca="1" si="0"/>
        <v>0.27194418608368742</v>
      </c>
      <c r="H21" s="129" t="str">
        <f>シート①入力画面!BF86</f>
        <v>神崎</v>
      </c>
      <c r="I21" s="571" t="str">
        <f>IF(シート①入力画面!$AZ$36=1,IF(ISNA(VLOOKUP(H21,$S$6:$T$53,2,FALSE)),H21,VLOOKUP(H21,$S$6:$T$53,2,FALSE)),I21)</f>
        <v>神崎</v>
      </c>
      <c r="J21" s="128"/>
      <c r="K21" s="129" t="str">
        <f t="shared" si="1"/>
        <v/>
      </c>
      <c r="L21" s="129" t="str">
        <f t="shared" si="2"/>
        <v/>
      </c>
      <c r="N21" s="181">
        <f t="shared" ca="1" si="3"/>
        <v>0.67858532698540763</v>
      </c>
      <c r="O21" s="181">
        <f ca="1">IF(ISBLANK(R21),"",IF(シート①入力画面!$AW$45=1,P21,$O21))</f>
        <v>0.67858532698540763</v>
      </c>
      <c r="P21" s="180">
        <f t="shared" ca="1" si="4"/>
        <v>0.67858532698540763</v>
      </c>
      <c r="Q21" s="15" t="str">
        <f t="shared" si="5"/>
        <v/>
      </c>
      <c r="R21" s="176" t="str">
        <f>IF(シート①入力画面!BB85=" --","",IF(シート①入力画面!BB85="","",シート①入力画面!BB85))</f>
        <v/>
      </c>
      <c r="S21" s="571" t="str">
        <f t="array" ref="S21">IF(ROW(R21)-5&gt;(48-COUNTBLANK($R$6:$R$53)),"",INDEX($R$6:$R$53,SMALL(IF($R$6:$R$53&lt;&gt;"",ROW($R$6:$R$53)-5,""),ROW(R21)-5)))</f>
        <v/>
      </c>
      <c r="T21" s="571" t="str">
        <f>IF(シート①入力画面!$AW$45=1,IF(U21="","",VLOOKUP($U21,$K$6:$L$53,2,FALSE)),T21)</f>
        <v/>
      </c>
      <c r="U21" s="575" t="str">
        <f t="shared" si="7"/>
        <v/>
      </c>
      <c r="V21" s="173">
        <v>16</v>
      </c>
      <c r="X21" s="177" t="str">
        <f>IF(シート①入力画面!BW85=" --","",IF(シート①入力画面!BW85="","",シート①入力画面!BW85))</f>
        <v/>
      </c>
      <c r="Y21" s="96"/>
      <c r="Z21" s="130"/>
      <c r="AA21" s="15"/>
      <c r="AD21" s="107" t="str">
        <f>IF(ISERROR(INDEX($AN21:$AQ21,1,MATCH(AD22,$AN22:$AQ22,0))),"",INDEX($AN21:$AQ21,1,MATCH(AD22,$AN22:$AQ22,0)))</f>
        <v/>
      </c>
      <c r="AE21" s="107" t="str">
        <f>IF(ISERROR(INDEX($AN21:$AQ21,1,MATCH(AE22,$AN22:$AQ22,0))),"",INDEX($AN21:$AQ21,1,MATCH(AE22,$AN22:$AQ22,0)))</f>
        <v/>
      </c>
      <c r="AF21" s="107" t="str">
        <f>IF(ISERROR(INDEX($AN21:$AQ21,1,MATCH(AF22,$AN22:$AQ22,0))),"",INDEX($AN21:$AQ21,1,MATCH(AF22,$AN22:$AQ22,0)))</f>
        <v/>
      </c>
      <c r="AG21" s="107" t="str">
        <f>IF(ISERROR(INDEX($AN21:$AQ21,1,MATCH(AG22,$AN22:$AQ22,0))),"",INDEX($AN21:$AQ21,1,MATCH(AG22,$AN22:$AQ22,0)))</f>
        <v/>
      </c>
      <c r="AI21" s="107" t="e">
        <f t="array" ref="AI21">IF(COLUMN(AN21)-COLUMN($AM21)&gt;COUNTA($AN21:$AQ21),"",INDEX($AN21:$AQ21,SMALL(IF($AN21:$AQ21&lt;&gt;"",COLUMN($AN21:$AQ21)-COLUMN($AM21),""),COLUMN(AN21)-COLUMN($AM21))))</f>
        <v>#NUM!</v>
      </c>
      <c r="AJ21" s="107" t="e">
        <f t="array" ref="AJ21">IF(COLUMN(AO21)-COLUMN($AM21)&gt;COUNTA($AN21:$AQ21),"",INDEX($AN21:$AQ21,SMALL(IF($AN21:$AQ21&lt;&gt;"",COLUMN($AN21:$AQ21)-COLUMN($AM21),""),COLUMN(AO21)-COLUMN($AM21))))</f>
        <v>#NUM!</v>
      </c>
      <c r="AK21" s="107" t="e">
        <f t="array" ref="AK21">IF(COLUMN(AP21)-COLUMN($AM21)&gt;COUNTA($AN21:$AQ21),"",INDEX($AN21:$AQ21,SMALL(IF($AN21:$AQ21&lt;&gt;"",COLUMN($AN21:$AQ21)-COLUMN($AM21),""),COLUMN(AP21)-COLUMN($AM21))))</f>
        <v>#NUM!</v>
      </c>
      <c r="AL21" s="107" t="e">
        <f t="array" ref="AL21">IF(COLUMN(AQ21)-COLUMN($AM21)&gt;COUNTA($AN21:$AQ21),"",INDEX($AN21:$AQ21,SMALL(IF($AN21:$AQ21&lt;&gt;"",COLUMN($AN21:$AQ21)-COLUMN($AM21),""),COLUMN(AQ21)-COLUMN($AM21))))</f>
        <v>#NUM!</v>
      </c>
      <c r="AN21" s="107" t="str">
        <f>X34</f>
        <v/>
      </c>
      <c r="AO21" s="107" t="str">
        <f>X35</f>
        <v/>
      </c>
      <c r="AP21" s="107" t="str">
        <f>X36</f>
        <v/>
      </c>
      <c r="AQ21" s="107" t="str">
        <f>X37</f>
        <v/>
      </c>
      <c r="AT21" s="107" t="str">
        <f>$AP$13</f>
        <v/>
      </c>
      <c r="AU21" s="142" t="e">
        <f>AK13</f>
        <v>#NUM!</v>
      </c>
      <c r="AV21" s="142" t="str">
        <f>AF13</f>
        <v/>
      </c>
    </row>
    <row r="22" spans="1:48" x14ac:dyDescent="0.15">
      <c r="A22" s="128"/>
      <c r="C22" s="129">
        <v>17</v>
      </c>
      <c r="E22" s="414" t="str">
        <f t="shared" ca="1" si="6"/>
        <v>佐藤清</v>
      </c>
      <c r="F22" s="180">
        <f ca="1">IF(H22="","",IF(シート①入力画面!$AW$45=1,P22,F22))</f>
        <v>9.9228628130465291E-2</v>
      </c>
      <c r="G22" s="128">
        <f t="shared" ca="1" si="0"/>
        <v>0.31255989380194593</v>
      </c>
      <c r="H22" s="129" t="str">
        <f>シート①入力画面!BF87</f>
        <v>神林</v>
      </c>
      <c r="I22" s="571" t="str">
        <f>IF(シート①入力画面!$AZ$36=1,IF(ISNA(VLOOKUP(H22,$S$6:$T$53,2,FALSE)),H22,VLOOKUP(H22,$S$6:$T$53,2,FALSE)),I22)</f>
        <v>神林</v>
      </c>
      <c r="J22" s="128"/>
      <c r="K22" s="129" t="str">
        <f t="shared" si="1"/>
        <v/>
      </c>
      <c r="L22" s="129" t="str">
        <f t="shared" si="2"/>
        <v/>
      </c>
      <c r="N22" s="181">
        <f t="shared" ca="1" si="3"/>
        <v>9.9228628130465291E-2</v>
      </c>
      <c r="O22" s="181">
        <f ca="1">IF(ISBLANK(R22),"",IF(シート①入力画面!$AW$45=1,P22,$O22))</f>
        <v>9.9228628130465291E-2</v>
      </c>
      <c r="P22" s="180">
        <f t="shared" ca="1" si="4"/>
        <v>9.9228628130465291E-2</v>
      </c>
      <c r="Q22" s="15" t="str">
        <f t="shared" si="5"/>
        <v/>
      </c>
      <c r="R22" s="176" t="str">
        <f>IF(シート①入力画面!BB86=" --","",IF(シート①入力画面!BB86="","",シート①入力画面!BB86))</f>
        <v/>
      </c>
      <c r="S22" s="571" t="str">
        <f t="array" ref="S22">IF(ROW(R22)-5&gt;(48-COUNTBLANK($R$6:$R$53)),"",INDEX($R$6:$R$53,SMALL(IF($R$6:$R$53&lt;&gt;"",ROW($R$6:$R$53)-5,""),ROW(R22)-5)))</f>
        <v/>
      </c>
      <c r="T22" s="571" t="str">
        <f>IF(シート①入力画面!$AW$45=1,IF(U22="","",VLOOKUP($U22,$K$6:$L$53,2,FALSE)),T22)</f>
        <v/>
      </c>
      <c r="U22" s="575" t="str">
        <f t="shared" si="7"/>
        <v/>
      </c>
      <c r="V22" s="173">
        <v>17</v>
      </c>
      <c r="X22" s="177" t="str">
        <f>IF(シート①入力画面!BW86=" --","",IF(シート①入力画面!BW86="","",シート①入力画面!BW86))</f>
        <v/>
      </c>
      <c r="Y22" s="96"/>
      <c r="Z22" s="130"/>
      <c r="AA22" s="15"/>
      <c r="AD22" s="129" t="e">
        <f>LARGE($AN22:$AQ22,AD$6)</f>
        <v>#NUM!</v>
      </c>
      <c r="AE22" s="129" t="e">
        <f>LARGE($AN22:$AQ22,AE$6)</f>
        <v>#NUM!</v>
      </c>
      <c r="AF22" s="129" t="e">
        <f>LARGE($AN22:$AQ22,AF$6)</f>
        <v>#NUM!</v>
      </c>
      <c r="AG22" s="129" t="e">
        <f>LARGE($AN22:$AQ22,AG$6)</f>
        <v>#NUM!</v>
      </c>
      <c r="AI22" s="107"/>
      <c r="AJ22" s="107"/>
      <c r="AK22" s="107"/>
      <c r="AL22" s="107"/>
      <c r="AN22" s="129" t="str">
        <f>IF(AN21="","",IF(AN21=シート①入力画面!$Q$23,10,VLOOKUP(AN21,集計!$B$6:$F$70,5,FALSE)))</f>
        <v/>
      </c>
      <c r="AO22" s="129" t="str">
        <f>IF(AO21="","",IF(AO21=シート①入力画面!$Q$23,10,VLOOKUP(AO21,集計!$B$6:$F$70,5,FALSE)))</f>
        <v/>
      </c>
      <c r="AP22" s="129" t="str">
        <f>IF(AP21="","",IF(AP21=シート①入力画面!$Q$23,10,VLOOKUP(AP21,集計!$B$6:$F$70,5,FALSE)))</f>
        <v/>
      </c>
      <c r="AQ22" s="129" t="str">
        <f>IF(AQ21="","",IF(AQ21=シート①入力画面!$Q$23,10,VLOOKUP(AQ21,集計!$B$6:$F$70,5,FALSE)))</f>
        <v/>
      </c>
      <c r="AT22" s="107" t="str">
        <f>$AQ$13</f>
        <v/>
      </c>
      <c r="AU22" s="142" t="e">
        <f>AL13</f>
        <v>#NUM!</v>
      </c>
      <c r="AV22" s="142" t="str">
        <f>AG13</f>
        <v/>
      </c>
    </row>
    <row r="23" spans="1:48" x14ac:dyDescent="0.15">
      <c r="A23" s="128"/>
      <c r="C23" s="129">
        <v>18</v>
      </c>
      <c r="E23" s="414" t="str">
        <f t="shared" ca="1" si="6"/>
        <v>小和瀬</v>
      </c>
      <c r="F23" s="180">
        <f ca="1">IF(H23="","",IF(シート①入力画面!$AW$45=1,P23,F23))</f>
        <v>0.9576471812228774</v>
      </c>
      <c r="G23" s="128">
        <f t="shared" ca="1" si="0"/>
        <v>0.31604456982467244</v>
      </c>
      <c r="H23" s="129" t="str">
        <f>シート①入力画面!BF88</f>
        <v>君島</v>
      </c>
      <c r="I23" s="571" t="str">
        <f>IF(シート①入力画面!$AZ$36=1,IF(ISNA(VLOOKUP(H23,$S$6:$T$53,2,FALSE)),H23,VLOOKUP(H23,$S$6:$T$53,2,FALSE)),I23)</f>
        <v>君島</v>
      </c>
      <c r="J23" s="128"/>
      <c r="K23" s="129" t="str">
        <f t="shared" si="1"/>
        <v/>
      </c>
      <c r="L23" s="129" t="str">
        <f t="shared" si="2"/>
        <v/>
      </c>
      <c r="N23" s="181">
        <f t="shared" ca="1" si="3"/>
        <v>0.9576471812228774</v>
      </c>
      <c r="O23" s="181">
        <f ca="1">IF(ISBLANK(R23),"",IF(シート①入力画面!$AW$45=1,P23,$O23))</f>
        <v>0.9576471812228774</v>
      </c>
      <c r="P23" s="180">
        <f t="shared" ca="1" si="4"/>
        <v>0.9576471812228774</v>
      </c>
      <c r="Q23" s="15" t="str">
        <f t="shared" si="5"/>
        <v/>
      </c>
      <c r="R23" s="176" t="str">
        <f>IF(シート①入力画面!BB87=" --","",IF(シート①入力画面!BB87="","",シート①入力画面!BB87))</f>
        <v/>
      </c>
      <c r="S23" s="571" t="str">
        <f t="array" ref="S23">IF(ROW(R23)-5&gt;(48-COUNTBLANK($R$6:$R$53)),"",INDEX($R$6:$R$53,SMALL(IF($R$6:$R$53&lt;&gt;"",ROW($R$6:$R$53)-5,""),ROW(R23)-5)))</f>
        <v/>
      </c>
      <c r="T23" s="571" t="str">
        <f>IF(シート①入力画面!$AW$45=1,IF(U23="","",VLOOKUP($U23,$K$6:$L$53,2,FALSE)),T23)</f>
        <v/>
      </c>
      <c r="U23" s="575" t="str">
        <f t="shared" si="7"/>
        <v/>
      </c>
      <c r="V23" s="173">
        <v>18</v>
      </c>
      <c r="X23" s="177" t="str">
        <f>IF(シート①入力画面!BW87=" --","",IF(シート①入力画面!BW87="","",シート①入力画面!BW87))</f>
        <v/>
      </c>
      <c r="Y23" s="96"/>
      <c r="Z23" s="130"/>
      <c r="AA23" s="15"/>
      <c r="AD23" s="107" t="str">
        <f>IF(ISERROR(INDEX($AN23:$AQ23,1,MATCH(AD24,$AN24:$AQ24,0))),"",INDEX($AN23:$AQ23,1,MATCH(AD24,$AN24:$AQ24,0)))</f>
        <v/>
      </c>
      <c r="AE23" s="107" t="str">
        <f>IF(ISERROR(INDEX($AN23:$AQ23,1,MATCH(AE24,$AN24:$AQ24,0))),"",INDEX($AN23:$AQ23,1,MATCH(AE24,$AN24:$AQ24,0)))</f>
        <v/>
      </c>
      <c r="AF23" s="107" t="str">
        <f>IF(ISERROR(INDEX($AN23:$AQ23,1,MATCH(AF24,$AN24:$AQ24,0))),"",INDEX($AN23:$AQ23,1,MATCH(AF24,$AN24:$AQ24,0)))</f>
        <v/>
      </c>
      <c r="AG23" s="107" t="str">
        <f>IF(ISERROR(INDEX($AN23:$AQ23,1,MATCH(AG24,$AN24:$AQ24,0))),"",INDEX($AN23:$AQ23,1,MATCH(AG24,$AN24:$AQ24,0)))</f>
        <v/>
      </c>
      <c r="AI23" s="107" t="e">
        <f t="array" ref="AI23">IF(COLUMN(AN23)-COLUMN($AM23)&gt;COUNTA($AN23:$AQ23),"",INDEX($AN23:$AQ23,SMALL(IF($AN23:$AQ23&lt;&gt;"",COLUMN($AN23:$AQ23)-COLUMN($AM23),""),COLUMN(AN23)-COLUMN($AM23))))</f>
        <v>#NUM!</v>
      </c>
      <c r="AJ23" s="107" t="e">
        <f t="array" ref="AJ23">IF(COLUMN(AO23)-COLUMN($AM23)&gt;COUNTA($AN23:$AQ23),"",INDEX($AN23:$AQ23,SMALL(IF($AN23:$AQ23&lt;&gt;"",COLUMN($AN23:$AQ23)-COLUMN($AM23),""),COLUMN(AO23)-COLUMN($AM23))))</f>
        <v>#NUM!</v>
      </c>
      <c r="AK23" s="107" t="e">
        <f t="array" ref="AK23">IF(COLUMN(AP23)-COLUMN($AM23)&gt;COUNTA($AN23:$AQ23),"",INDEX($AN23:$AQ23,SMALL(IF($AN23:$AQ23&lt;&gt;"",COLUMN($AN23:$AQ23)-COLUMN($AM23),""),COLUMN(AP23)-COLUMN($AM23))))</f>
        <v>#NUM!</v>
      </c>
      <c r="AL23" s="107" t="e">
        <f t="array" ref="AL23">IF(COLUMN(AQ23)-COLUMN($AM23)&gt;COUNTA($AN23:$AQ23),"",INDEX($AN23:$AQ23,SMALL(IF($AN23:$AQ23&lt;&gt;"",COLUMN($AN23:$AQ23)-COLUMN($AM23),""),COLUMN(AQ23)-COLUMN($AM23))))</f>
        <v>#NUM!</v>
      </c>
      <c r="AN23" s="107" t="str">
        <f>X38</f>
        <v/>
      </c>
      <c r="AO23" s="107" t="str">
        <f>X39</f>
        <v/>
      </c>
      <c r="AP23" s="107" t="str">
        <f>X40</f>
        <v/>
      </c>
      <c r="AQ23" s="107" t="str">
        <f>X41</f>
        <v/>
      </c>
      <c r="AT23" s="107" t="str">
        <f>$AN$15</f>
        <v/>
      </c>
      <c r="AU23" s="142" t="e">
        <f>AI15</f>
        <v>#NUM!</v>
      </c>
      <c r="AV23" s="142" t="str">
        <f>AD15</f>
        <v/>
      </c>
    </row>
    <row r="24" spans="1:48" x14ac:dyDescent="0.15">
      <c r="A24" s="128"/>
      <c r="C24" s="129">
        <v>19</v>
      </c>
      <c r="E24" s="414" t="str">
        <f t="shared" ca="1" si="6"/>
        <v>大塩</v>
      </c>
      <c r="F24" s="180">
        <f ca="1">IF(H24="","",IF(シート①入力画面!$AW$45=1,P24,F24))</f>
        <v>0.24548799793012832</v>
      </c>
      <c r="G24" s="128">
        <f t="shared" ca="1" si="0"/>
        <v>0.33982060492912403</v>
      </c>
      <c r="H24" s="129" t="str">
        <f>シート①入力画面!BF89</f>
        <v>郷間</v>
      </c>
      <c r="I24" s="571" t="str">
        <f>IF(シート①入力画面!$AZ$36=1,IF(ISNA(VLOOKUP(H24,$S$6:$T$53,2,FALSE)),H24,VLOOKUP(H24,$S$6:$T$53,2,FALSE)),I24)</f>
        <v>郷間</v>
      </c>
      <c r="J24" s="128"/>
      <c r="K24" s="129" t="str">
        <f t="shared" si="1"/>
        <v/>
      </c>
      <c r="L24" s="129" t="str">
        <f t="shared" si="2"/>
        <v/>
      </c>
      <c r="N24" s="181">
        <f t="shared" ca="1" si="3"/>
        <v>0.24548799793012832</v>
      </c>
      <c r="O24" s="181">
        <f ca="1">IF(ISBLANK(R24),"",IF(シート①入力画面!$AW$45=1,P24,$O24))</f>
        <v>0.24548799793012832</v>
      </c>
      <c r="P24" s="180">
        <f t="shared" ca="1" si="4"/>
        <v>0.24548799793012832</v>
      </c>
      <c r="Q24" s="15" t="str">
        <f t="shared" si="5"/>
        <v/>
      </c>
      <c r="R24" s="176" t="str">
        <f>IF(シート①入力画面!BB88=" --","",IF(シート①入力画面!BB88="","",シート①入力画面!BB88))</f>
        <v/>
      </c>
      <c r="S24" s="571" t="str">
        <f t="array" ref="S24">IF(ROW(R24)-5&gt;(48-COUNTBLANK($R$6:$R$53)),"",INDEX($R$6:$R$53,SMALL(IF($R$6:$R$53&lt;&gt;"",ROW($R$6:$R$53)-5,""),ROW(R24)-5)))</f>
        <v/>
      </c>
      <c r="T24" s="571" t="str">
        <f>IF(シート①入力画面!$AW$45=1,IF(U24="","",VLOOKUP($U24,$K$6:$L$53,2,FALSE)),T24)</f>
        <v/>
      </c>
      <c r="U24" s="575" t="str">
        <f t="shared" si="7"/>
        <v/>
      </c>
      <c r="V24" s="173">
        <v>19</v>
      </c>
      <c r="X24" s="177" t="str">
        <f>IF(シート①入力画面!BW88=" --","",IF(シート①入力画面!BW88="","",シート①入力画面!BW88))</f>
        <v/>
      </c>
      <c r="Y24" s="96"/>
      <c r="Z24" s="130"/>
      <c r="AA24" s="15"/>
      <c r="AD24" s="129" t="e">
        <f>LARGE($AN24:$AQ24,AD$6)</f>
        <v>#NUM!</v>
      </c>
      <c r="AE24" s="129" t="e">
        <f>LARGE($AN24:$AQ24,AE$6)</f>
        <v>#NUM!</v>
      </c>
      <c r="AF24" s="129" t="e">
        <f>LARGE($AN24:$AQ24,AF$6)</f>
        <v>#NUM!</v>
      </c>
      <c r="AG24" s="129" t="e">
        <f>LARGE($AN24:$AQ24,AG$6)</f>
        <v>#NUM!</v>
      </c>
      <c r="AI24" s="129"/>
      <c r="AJ24" s="107"/>
      <c r="AK24" s="107"/>
      <c r="AL24" s="107"/>
      <c r="AN24" s="129" t="str">
        <f>IF(AN23="","",IF(AN23=シート①入力画面!$Q$23,10,VLOOKUP(AN23,集計!$B$6:$F$70,5,FALSE)))</f>
        <v/>
      </c>
      <c r="AO24" s="129" t="str">
        <f>IF(AO23="","",IF(AO23=シート①入力画面!$Q$23,10,VLOOKUP(AO23,集計!$B$6:$F$70,5,FALSE)))</f>
        <v/>
      </c>
      <c r="AP24" s="129" t="str">
        <f>IF(AP23="","",IF(AP23=シート①入力画面!$Q$23,10,VLOOKUP(AP23,集計!$B$6:$F$70,5,FALSE)))</f>
        <v/>
      </c>
      <c r="AQ24" s="129" t="str">
        <f>IF(AQ23="","",IF(AQ23=シート①入力画面!$Q$23,10,VLOOKUP(AQ23,集計!$B$6:$F$70,5,FALSE)))</f>
        <v/>
      </c>
      <c r="AT24" s="107" t="str">
        <f>$AO$15</f>
        <v/>
      </c>
      <c r="AU24" s="142" t="e">
        <f>AJ15</f>
        <v>#NUM!</v>
      </c>
      <c r="AV24" s="142" t="str">
        <f>AE15</f>
        <v/>
      </c>
    </row>
    <row r="25" spans="1:48" x14ac:dyDescent="0.15">
      <c r="A25" s="128"/>
      <c r="C25" s="129">
        <v>20</v>
      </c>
      <c r="E25" s="414" t="str">
        <f t="shared" ca="1" si="6"/>
        <v>豆田</v>
      </c>
      <c r="F25" s="180">
        <f ca="1">IF(H25="","",IF(シート①入力画面!$AW$45=1,P25,F25))</f>
        <v>0.69440046756657858</v>
      </c>
      <c r="G25" s="128">
        <f t="shared" ca="1" si="0"/>
        <v>0.34866862529477627</v>
      </c>
      <c r="H25" s="129" t="str">
        <f>シート①入力画面!BF90</f>
        <v>小林邦</v>
      </c>
      <c r="I25" s="571" t="str">
        <f>IF(シート①入力画面!$AZ$36=1,IF(ISNA(VLOOKUP(H25,$S$6:$T$53,2,FALSE)),H25,VLOOKUP(H25,$S$6:$T$53,2,FALSE)),I25)</f>
        <v>小林邦</v>
      </c>
      <c r="J25" s="128"/>
      <c r="K25" s="129" t="str">
        <f t="shared" si="1"/>
        <v/>
      </c>
      <c r="L25" s="129" t="str">
        <f t="shared" si="2"/>
        <v/>
      </c>
      <c r="N25" s="181">
        <f t="shared" ca="1" si="3"/>
        <v>0.69440046756657858</v>
      </c>
      <c r="O25" s="181">
        <f ca="1">IF(ISBLANK(R25),"",IF(シート①入力画面!$AW$45=1,P25,$O25))</f>
        <v>0.69440046756657858</v>
      </c>
      <c r="P25" s="180">
        <f t="shared" ca="1" si="4"/>
        <v>0.69440046756657858</v>
      </c>
      <c r="Q25" s="15" t="str">
        <f t="shared" si="5"/>
        <v/>
      </c>
      <c r="R25" s="176" t="str">
        <f>IF(シート①入力画面!BB89=" --","",IF(シート①入力画面!BB89="","",シート①入力画面!BB89))</f>
        <v/>
      </c>
      <c r="S25" s="571" t="str">
        <f t="array" ref="S25">IF(ROW(R25)-5&gt;(48-COUNTBLANK($R$6:$R$53)),"",INDEX($R$6:$R$53,SMALL(IF($R$6:$R$53&lt;&gt;"",ROW($R$6:$R$53)-5,""),ROW(R25)-5)))</f>
        <v/>
      </c>
      <c r="T25" s="571" t="str">
        <f>IF(シート①入力画面!$AW$45=1,IF(U25="","",VLOOKUP($U25,$K$6:$L$53,2,FALSE)),T25)</f>
        <v/>
      </c>
      <c r="U25" s="575" t="str">
        <f t="shared" si="7"/>
        <v/>
      </c>
      <c r="V25" s="173">
        <v>20</v>
      </c>
      <c r="X25" s="177" t="str">
        <f>IF(シート①入力画面!BW89=" --","",IF(シート①入力画面!BW89="","",シート①入力画面!BW89))</f>
        <v/>
      </c>
      <c r="Y25" s="96"/>
      <c r="Z25" s="130"/>
      <c r="AA25" s="15"/>
      <c r="AD25" s="107" t="str">
        <f>IF(ISERROR(INDEX($AN25:$AQ25,1,MATCH(AD26,$AN26:$AQ26,0))),"",INDEX($AN25:$AQ25,1,MATCH(AD26,$AN26:$AQ26,0)))</f>
        <v/>
      </c>
      <c r="AE25" s="107" t="str">
        <f>IF(ISERROR(INDEX($AN25:$AQ25,1,MATCH(AE26,$AN26:$AQ26,0))),"",INDEX($AN25:$AQ25,1,MATCH(AE26,$AN26:$AQ26,0)))</f>
        <v/>
      </c>
      <c r="AF25" s="107" t="str">
        <f>IF(ISERROR(INDEX($AN25:$AQ25,1,MATCH(AF26,$AN26:$AQ26,0))),"",INDEX($AN25:$AQ25,1,MATCH(AF26,$AN26:$AQ26,0)))</f>
        <v/>
      </c>
      <c r="AG25" s="107" t="str">
        <f>IF(ISERROR(INDEX($AN25:$AQ25,1,MATCH(AG26,$AN26:$AQ26,0))),"",INDEX($AN25:$AQ25,1,MATCH(AG26,$AN26:$AQ26,0)))</f>
        <v/>
      </c>
      <c r="AI25" s="107" t="e">
        <f t="array" ref="AI25">IF(COLUMN(AN25)-COLUMN($AM25)&gt;COUNTA($AN25:$AQ25),"",INDEX($AN25:$AQ25,SMALL(IF($AN25:$AQ25&lt;&gt;"",COLUMN($AN25:$AQ25)-COLUMN($AM25),""),COLUMN(AN25)-COLUMN($AM25))))</f>
        <v>#NUM!</v>
      </c>
      <c r="AJ25" s="107" t="e">
        <f t="array" ref="AJ25">IF(COLUMN(AO25)-COLUMN($AM25)&gt;COUNTA($AN25:$AQ25),"",INDEX($AN25:$AQ25,SMALL(IF($AN25:$AQ25&lt;&gt;"",COLUMN($AN25:$AQ25)-COLUMN($AM25),""),COLUMN(AO25)-COLUMN($AM25))))</f>
        <v>#NUM!</v>
      </c>
      <c r="AK25" s="107" t="e">
        <f t="array" ref="AK25">IF(COLUMN(AP25)-COLUMN($AM25)&gt;COUNTA($AN25:$AQ25),"",INDEX($AN25:$AQ25,SMALL(IF($AN25:$AQ25&lt;&gt;"",COLUMN($AN25:$AQ25)-COLUMN($AM25),""),COLUMN(AP25)-COLUMN($AM25))))</f>
        <v>#NUM!</v>
      </c>
      <c r="AL25" s="107" t="e">
        <f t="array" ref="AL25">IF(COLUMN(AQ25)-COLUMN($AM25)&gt;COUNTA($AN25:$AQ25),"",INDEX($AN25:$AQ25,SMALL(IF($AN25:$AQ25&lt;&gt;"",COLUMN($AN25:$AQ25)-COLUMN($AM25),""),COLUMN(AQ25)-COLUMN($AM25))))</f>
        <v>#NUM!</v>
      </c>
      <c r="AN25" s="107" t="str">
        <f>X42</f>
        <v/>
      </c>
      <c r="AO25" s="107" t="str">
        <f>X43</f>
        <v/>
      </c>
      <c r="AP25" s="107" t="str">
        <f>X44</f>
        <v/>
      </c>
      <c r="AQ25" s="107" t="str">
        <f>X45</f>
        <v/>
      </c>
      <c r="AT25" s="107" t="str">
        <f>$AP$15</f>
        <v/>
      </c>
      <c r="AU25" s="142" t="e">
        <f>AK15</f>
        <v>#NUM!</v>
      </c>
      <c r="AV25" s="142" t="str">
        <f>AF15</f>
        <v/>
      </c>
    </row>
    <row r="26" spans="1:48" x14ac:dyDescent="0.15">
      <c r="A26" s="128"/>
      <c r="C26" s="129">
        <v>21</v>
      </c>
      <c r="E26" s="414" t="str">
        <f t="shared" ca="1" si="6"/>
        <v>中川</v>
      </c>
      <c r="F26" s="180">
        <f ca="1">IF(H26="","",IF(シート①入力画面!$AW$45=1,P26,F26))</f>
        <v>0.70622211830448767</v>
      </c>
      <c r="G26" s="128">
        <f t="shared" ca="1" si="0"/>
        <v>0.41240510858525903</v>
      </c>
      <c r="H26" s="129" t="str">
        <f>シート①入力画面!BF91</f>
        <v>小林修</v>
      </c>
      <c r="I26" s="571" t="str">
        <f>IF(シート①入力画面!$AZ$36=1,IF(ISNA(VLOOKUP(H26,$S$6:$T$53,2,FALSE)),H26,VLOOKUP(H26,$S$6:$T$53,2,FALSE)),I26)</f>
        <v>小林修</v>
      </c>
      <c r="J26" s="128"/>
      <c r="K26" s="129" t="str">
        <f t="shared" si="1"/>
        <v/>
      </c>
      <c r="L26" s="129" t="str">
        <f t="shared" si="2"/>
        <v/>
      </c>
      <c r="N26" s="181">
        <f t="shared" ca="1" si="3"/>
        <v>0.70622211830448767</v>
      </c>
      <c r="O26" s="181">
        <f ca="1">IF(ISBLANK(R26),"",IF(シート①入力画面!$AW$45=1,P26,$O26))</f>
        <v>0.70622211830448767</v>
      </c>
      <c r="P26" s="180">
        <f t="shared" ca="1" si="4"/>
        <v>0.70622211830448767</v>
      </c>
      <c r="Q26" s="15" t="str">
        <f t="shared" si="5"/>
        <v/>
      </c>
      <c r="R26" s="176" t="str">
        <f>IF(シート①入力画面!BB90=" --","",IF(シート①入力画面!BB90="","",シート①入力画面!BB90))</f>
        <v/>
      </c>
      <c r="S26" s="571" t="str">
        <f t="array" ref="S26">IF(ROW(R26)-5&gt;(48-COUNTBLANK($R$6:$R$53)),"",INDEX($R$6:$R$53,SMALL(IF($R$6:$R$53&lt;&gt;"",ROW($R$6:$R$53)-5,""),ROW(R26)-5)))</f>
        <v/>
      </c>
      <c r="T26" s="571" t="str">
        <f>IF(シート①入力画面!$AW$45=1,IF(U26="","",VLOOKUP($U26,$K$6:$L$53,2,FALSE)),T26)</f>
        <v/>
      </c>
      <c r="U26" s="575" t="str">
        <f t="shared" si="7"/>
        <v/>
      </c>
      <c r="V26" s="173">
        <v>21</v>
      </c>
      <c r="X26" s="177" t="str">
        <f>IF(シート①入力画面!BW90=" --","",IF(シート①入力画面!BW90="","",シート①入力画面!BW90))</f>
        <v/>
      </c>
      <c r="Y26" s="96"/>
      <c r="Z26" s="130"/>
      <c r="AA26" s="15"/>
      <c r="AD26" s="129" t="e">
        <f>LARGE($AN26:$AQ26,AD$6)</f>
        <v>#NUM!</v>
      </c>
      <c r="AE26" s="129" t="e">
        <f>LARGE($AN26:$AQ26,AE$6)</f>
        <v>#NUM!</v>
      </c>
      <c r="AF26" s="129" t="e">
        <f>LARGE($AN26:$AQ26,AF$6)</f>
        <v>#NUM!</v>
      </c>
      <c r="AG26" s="129" t="e">
        <f>LARGE($AN26:$AQ26,AG$6)</f>
        <v>#NUM!</v>
      </c>
      <c r="AI26" s="107"/>
      <c r="AJ26" s="107"/>
      <c r="AK26" s="107"/>
      <c r="AL26" s="107"/>
      <c r="AN26" s="129" t="str">
        <f>IF(AN25="","",IF(AN25=シート①入力画面!$Q$23,10,VLOOKUP(AN25,集計!$B$6:$F$70,5,FALSE)))</f>
        <v/>
      </c>
      <c r="AO26" s="129" t="str">
        <f>IF(AO25="","",IF(AO25=シート①入力画面!$Q$23,10,VLOOKUP(AO25,集計!$B$6:$F$70,5,FALSE)))</f>
        <v/>
      </c>
      <c r="AP26" s="129" t="str">
        <f>IF(AP25="","",IF(AP25=シート①入力画面!$Q$23,10,VLOOKUP(AP25,集計!$B$6:$F$70,5,FALSE)))</f>
        <v/>
      </c>
      <c r="AQ26" s="129" t="str">
        <f>IF(AQ25="","",IF(AQ25=シート①入力画面!$Q$23,10,VLOOKUP(AQ25,集計!$B$6:$F$70,5,FALSE)))</f>
        <v/>
      </c>
      <c r="AT26" s="107" t="str">
        <f>$AQ$15</f>
        <v/>
      </c>
      <c r="AU26" s="142" t="e">
        <f>AL15</f>
        <v>#NUM!</v>
      </c>
      <c r="AV26" s="142" t="str">
        <f>AG15</f>
        <v/>
      </c>
    </row>
    <row r="27" spans="1:48" x14ac:dyDescent="0.15">
      <c r="A27" s="128"/>
      <c r="C27" s="129">
        <v>22</v>
      </c>
      <c r="E27" s="414" t="str">
        <f t="shared" ca="1" si="6"/>
        <v>高木</v>
      </c>
      <c r="F27" s="180">
        <f ca="1">IF(H27="","",IF(シート①入力画面!$AW$45=1,P27,F27))</f>
        <v>0.31604456982467244</v>
      </c>
      <c r="G27" s="128">
        <f t="shared" ca="1" si="0"/>
        <v>0.42509946553374811</v>
      </c>
      <c r="H27" s="129" t="str">
        <f>シート①入力画面!BF92</f>
        <v>小和瀬</v>
      </c>
      <c r="I27" s="571" t="str">
        <f>IF(シート①入力画面!$AZ$36=1,IF(ISNA(VLOOKUP(H27,$S$6:$T$53,2,FALSE)),H27,VLOOKUP(H27,$S$6:$T$53,2,FALSE)),I27)</f>
        <v>小和瀬</v>
      </c>
      <c r="J27" s="128"/>
      <c r="K27" s="129" t="str">
        <f t="shared" si="1"/>
        <v/>
      </c>
      <c r="L27" s="129" t="str">
        <f t="shared" si="2"/>
        <v/>
      </c>
      <c r="N27" s="181">
        <f t="shared" ca="1" si="3"/>
        <v>0.31604456982467244</v>
      </c>
      <c r="O27" s="181">
        <f ca="1">IF(ISBLANK(R27),"",IF(シート①入力画面!$AW$45=1,P27,$O27))</f>
        <v>0.31604456982467244</v>
      </c>
      <c r="P27" s="180">
        <f t="shared" ca="1" si="4"/>
        <v>0.31604456982467244</v>
      </c>
      <c r="Q27" s="15" t="str">
        <f t="shared" si="5"/>
        <v/>
      </c>
      <c r="R27" s="176" t="str">
        <f>IF(シート①入力画面!BB91=" --","",IF(シート①入力画面!BB91="","",シート①入力画面!BB91))</f>
        <v/>
      </c>
      <c r="S27" s="571" t="str">
        <f t="array" ref="S27">IF(ROW(R27)-5&gt;(48-COUNTBLANK($R$6:$R$53)),"",INDEX($R$6:$R$53,SMALL(IF($R$6:$R$53&lt;&gt;"",ROW($R$6:$R$53)-5,""),ROW(R27)-5)))</f>
        <v/>
      </c>
      <c r="T27" s="571" t="str">
        <f>IF(シート①入力画面!$AW$45=1,IF(U27="","",VLOOKUP($U27,$K$6:$L$53,2,FALSE)),T27)</f>
        <v/>
      </c>
      <c r="U27" s="575" t="str">
        <f t="shared" si="7"/>
        <v/>
      </c>
      <c r="V27" s="173">
        <v>22</v>
      </c>
      <c r="X27" s="177" t="str">
        <f>IF(シート①入力画面!BW91=" --","",IF(シート①入力画面!BW91="","",シート①入力画面!BW91))</f>
        <v/>
      </c>
      <c r="Y27" s="96"/>
      <c r="Z27" s="130"/>
      <c r="AA27" s="15"/>
      <c r="AD27" s="571" t="str">
        <f>IF(ISERROR(INDEX($AN27:$AQ27,1,MATCH(AD28,$AN28:$AQ28,0))),"",INDEX($AN27:$AQ27,1,MATCH(AD28,$AN28:$AQ28,0)))</f>
        <v/>
      </c>
      <c r="AE27" s="571" t="str">
        <f>IF(ISERROR(INDEX($AN27:$AQ27,1,MATCH(AE28,$AN28:$AQ28,0))),"",INDEX($AN27:$AQ27,1,MATCH(AE28,$AN28:$AQ28,0)))</f>
        <v/>
      </c>
      <c r="AF27" s="571" t="str">
        <f>IF(ISERROR(INDEX($AN27:$AQ27,1,MATCH(AF28,$AN28:$AQ28,0))),"",INDEX($AN27:$AQ27,1,MATCH(AF28,$AN28:$AQ28,0)))</f>
        <v/>
      </c>
      <c r="AG27" s="571" t="str">
        <f>IF(ISERROR(INDEX($AN27:$AQ27,1,MATCH(AG28,$AN28:$AQ28,0))),"",INDEX($AN27:$AQ27,1,MATCH(AG28,$AN28:$AQ28,0)))</f>
        <v/>
      </c>
      <c r="AI27" s="571" t="e">
        <f t="array" ref="AI27">IF(COLUMN(AN27)-COLUMN($AM27)&gt;COUNTA($AN27:$AQ27),"",INDEX($AN27:$AQ27,SMALL(IF($AN27:$AQ27&lt;&gt;"",COLUMN($AN27:$AQ27)-COLUMN($AM27),""),COLUMN(AN27)-COLUMN($AM27))))</f>
        <v>#NUM!</v>
      </c>
      <c r="AJ27" s="571" t="e">
        <f t="array" ref="AJ27">IF(COLUMN(AO27)-COLUMN($AM27)&gt;COUNTA($AN27:$AQ27),"",INDEX($AN27:$AQ27,SMALL(IF($AN27:$AQ27&lt;&gt;"",COLUMN($AN27:$AQ27)-COLUMN($AM27),""),COLUMN(AO27)-COLUMN($AM27))))</f>
        <v>#NUM!</v>
      </c>
      <c r="AK27" s="571" t="e">
        <f t="array" ref="AK27">IF(COLUMN(AP27)-COLUMN($AM27)&gt;COUNTA($AN27:$AQ27),"",INDEX($AN27:$AQ27,SMALL(IF($AN27:$AQ27&lt;&gt;"",COLUMN($AN27:$AQ27)-COLUMN($AM27),""),COLUMN(AP27)-COLUMN($AM27))))</f>
        <v>#NUM!</v>
      </c>
      <c r="AL27" s="571" t="e">
        <f t="array" ref="AL27">IF(COLUMN(AQ27)-COLUMN($AM27)&gt;COUNTA($AN27:$AQ27),"",INDEX($AN27:$AQ27,SMALL(IF($AN27:$AQ27&lt;&gt;"",COLUMN($AN27:$AQ27)-COLUMN($AM27),""),COLUMN(AQ27)-COLUMN($AM27))))</f>
        <v>#NUM!</v>
      </c>
      <c r="AN27" s="576" t="str">
        <f>X46</f>
        <v/>
      </c>
      <c r="AO27" s="576" t="str">
        <f>X47</f>
        <v/>
      </c>
      <c r="AP27" s="576" t="str">
        <f>X48</f>
        <v/>
      </c>
      <c r="AQ27" s="576" t="str">
        <f>X49</f>
        <v/>
      </c>
      <c r="AT27" s="107" t="str">
        <f>$AN$17</f>
        <v/>
      </c>
      <c r="AU27" s="142" t="e">
        <f>AI17</f>
        <v>#NUM!</v>
      </c>
      <c r="AV27" s="142" t="str">
        <f>AD17</f>
        <v/>
      </c>
    </row>
    <row r="28" spans="1:48" x14ac:dyDescent="0.15">
      <c r="A28" s="128"/>
      <c r="C28" s="129">
        <v>23</v>
      </c>
      <c r="E28" s="414" t="str">
        <f t="shared" ca="1" si="6"/>
        <v>坪原</v>
      </c>
      <c r="F28" s="180">
        <f ca="1">IF(H28="","",IF(シート①入力画面!$AW$45=1,P28,F28))</f>
        <v>8.3559573464244696E-2</v>
      </c>
      <c r="G28" s="128">
        <f t="shared" ca="1" si="0"/>
        <v>0.42871915206397737</v>
      </c>
      <c r="H28" s="129" t="str">
        <f>シート①入力画面!BF93</f>
        <v>近藤静</v>
      </c>
      <c r="I28" s="571" t="str">
        <f>IF(シート①入力画面!$AZ$36=1,IF(ISNA(VLOOKUP(H28,$S$6:$T$53,2,FALSE)),H28,VLOOKUP(H28,$S$6:$T$53,2,FALSE)),I28)</f>
        <v>近藤静</v>
      </c>
      <c r="J28" s="128"/>
      <c r="K28" s="129" t="str">
        <f t="shared" si="1"/>
        <v/>
      </c>
      <c r="L28" s="129" t="str">
        <f t="shared" si="2"/>
        <v/>
      </c>
      <c r="N28" s="181">
        <f t="shared" ca="1" si="3"/>
        <v>8.3559573464244696E-2</v>
      </c>
      <c r="O28" s="181">
        <f ca="1">IF(ISBLANK(R28),"",IF(シート①入力画面!$AW$45=1,P28,$O28))</f>
        <v>8.3559573464244696E-2</v>
      </c>
      <c r="P28" s="180">
        <f t="shared" ca="1" si="4"/>
        <v>8.3559573464244696E-2</v>
      </c>
      <c r="Q28" s="15" t="str">
        <f t="shared" si="5"/>
        <v/>
      </c>
      <c r="R28" s="176" t="str">
        <f>IF(シート①入力画面!BB92=" --","",IF(シート①入力画面!BB92="","",シート①入力画面!BB92))</f>
        <v/>
      </c>
      <c r="S28" s="571" t="str">
        <f t="array" ref="S28">IF(ROW(R28)-5&gt;(48-COUNTBLANK($R$6:$R$53)),"",INDEX($R$6:$R$53,SMALL(IF($R$6:$R$53&lt;&gt;"",ROW($R$6:$R$53)-5,""),ROW(R28)-5)))</f>
        <v/>
      </c>
      <c r="T28" s="571" t="str">
        <f>IF(シート①入力画面!$AW$45=1,IF(U28="","",VLOOKUP($U28,$K$6:$L$53,2,FALSE)),T28)</f>
        <v/>
      </c>
      <c r="U28" s="575" t="str">
        <f t="shared" si="7"/>
        <v/>
      </c>
      <c r="V28" s="173">
        <v>23</v>
      </c>
      <c r="X28" s="177" t="str">
        <f>IF(シート①入力画面!BW92=" --","",IF(シート①入力画面!BW92="","",シート①入力画面!BW92))</f>
        <v/>
      </c>
      <c r="Y28" s="96"/>
      <c r="Z28" s="130"/>
      <c r="AA28" s="15"/>
      <c r="AD28" s="571" t="e">
        <f>LARGE($AN28:$AQ28,AD$6)</f>
        <v>#NUM!</v>
      </c>
      <c r="AE28" s="571" t="e">
        <f>LARGE($AN28:$AQ28,AE$6)</f>
        <v>#NUM!</v>
      </c>
      <c r="AF28" s="571" t="e">
        <f>LARGE($AN28:$AQ28,AF$6)</f>
        <v>#NUM!</v>
      </c>
      <c r="AG28" s="571" t="e">
        <f>LARGE($AN28:$AQ28,AG$6)</f>
        <v>#NUM!</v>
      </c>
      <c r="AH28" s="147"/>
      <c r="AI28" s="571"/>
      <c r="AJ28" s="571"/>
      <c r="AK28" s="571"/>
      <c r="AL28" s="571"/>
      <c r="AN28" s="571" t="str">
        <f>IF(AN27="","",IF(AN27=シート①入力画面!$Q$23,10,VLOOKUP(AN27,集計!$B$6:$F$70,5,FALSE)))</f>
        <v/>
      </c>
      <c r="AO28" s="571" t="str">
        <f>IF(AO27="","",IF(AO27=シート①入力画面!$Q$23,10,VLOOKUP(AO27,集計!$B$6:$F$70,5,FALSE)))</f>
        <v/>
      </c>
      <c r="AP28" s="571" t="str">
        <f>IF(AP27="","",IF(AP27=シート①入力画面!$Q$23,10,VLOOKUP(AP27,集計!$B$6:$F$70,5,FALSE)))</f>
        <v/>
      </c>
      <c r="AQ28" s="571" t="str">
        <f>IF(AQ27="","",IF(AQ27=シート①入力画面!$Q$23,10,VLOOKUP(AQ27,集計!$B$6:$F$70,5,FALSE)))</f>
        <v/>
      </c>
      <c r="AT28" s="107" t="str">
        <f>$AO$17</f>
        <v/>
      </c>
      <c r="AU28" s="142" t="e">
        <f>AJ17</f>
        <v>#NUM!</v>
      </c>
      <c r="AV28" s="142" t="str">
        <f>AE17</f>
        <v/>
      </c>
    </row>
    <row r="29" spans="1:48" x14ac:dyDescent="0.15">
      <c r="A29" s="128"/>
      <c r="C29" s="129">
        <v>24</v>
      </c>
      <c r="E29" s="414" t="str">
        <f t="shared" ca="1" si="6"/>
        <v>小倉</v>
      </c>
      <c r="F29" s="180">
        <f ca="1">IF(H29="","",IF(シート①入力画面!$AW$45=1,P29,F29))</f>
        <v>0.15550359661009616</v>
      </c>
      <c r="G29" s="128">
        <f t="shared" ca="1" si="0"/>
        <v>0.47265361589130661</v>
      </c>
      <c r="H29" s="129" t="str">
        <f>シート①入力画面!BF94</f>
        <v>近藤裕</v>
      </c>
      <c r="I29" s="571" t="str">
        <f>IF(シート①入力画面!$AZ$36=1,IF(ISNA(VLOOKUP(H29,$S$6:$T$53,2,FALSE)),H29,VLOOKUP(H29,$S$6:$T$53,2,FALSE)),I29)</f>
        <v>近藤裕</v>
      </c>
      <c r="J29" s="128"/>
      <c r="K29" s="129" t="str">
        <f t="shared" si="1"/>
        <v/>
      </c>
      <c r="L29" s="129" t="str">
        <f t="shared" si="2"/>
        <v/>
      </c>
      <c r="N29" s="181">
        <f t="shared" ca="1" si="3"/>
        <v>0.15550359661009616</v>
      </c>
      <c r="O29" s="181">
        <f ca="1">IF(ISBLANK(R29),"",IF(シート①入力画面!$AW$45=1,P29,$O29))</f>
        <v>0.15550359661009616</v>
      </c>
      <c r="P29" s="180">
        <f t="shared" ca="1" si="4"/>
        <v>0.15550359661009616</v>
      </c>
      <c r="Q29" s="15" t="str">
        <f t="shared" si="5"/>
        <v/>
      </c>
      <c r="R29" s="176" t="str">
        <f>IF(シート①入力画面!BB93=" --","",IF(シート①入力画面!BB93="","",シート①入力画面!BB93))</f>
        <v/>
      </c>
      <c r="S29" s="571" t="str">
        <f t="array" ref="S29">IF(ROW(R29)-5&gt;(48-COUNTBLANK($R$6:$R$53)),"",INDEX($R$6:$R$53,SMALL(IF($R$6:$R$53&lt;&gt;"",ROW($R$6:$R$53)-5,""),ROW(R29)-5)))</f>
        <v/>
      </c>
      <c r="T29" s="571" t="str">
        <f>IF(シート①入力画面!$AW$45=1,IF(U29="","",VLOOKUP($U29,$K$6:$L$53,2,FALSE)),T29)</f>
        <v/>
      </c>
      <c r="U29" s="575" t="str">
        <f t="shared" si="7"/>
        <v/>
      </c>
      <c r="V29" s="173">
        <v>24</v>
      </c>
      <c r="X29" s="177" t="str">
        <f>IF(シート①入力画面!BW93=" --","",IF(シート①入力画面!BW93="","",シート①入力画面!BW93))</f>
        <v/>
      </c>
      <c r="Y29" s="96"/>
      <c r="Z29" s="130"/>
      <c r="AA29" s="15"/>
      <c r="AD29" s="571" t="str">
        <f>IF(ISERROR(INDEX($AN29:$AQ29,1,MATCH(AD30,$AN30:$AQ30,0))),"",INDEX($AN29:$AQ29,1,MATCH(AD30,$AN30:$AQ30,0)))</f>
        <v/>
      </c>
      <c r="AE29" s="571" t="str">
        <f>IF(ISERROR(INDEX($AN29:$AQ29,1,MATCH(AE30,$AN30:$AQ30,0))),"",INDEX($AN29:$AQ29,1,MATCH(AE30,$AN30:$AQ30,0)))</f>
        <v/>
      </c>
      <c r="AF29" s="571" t="str">
        <f>IF(ISERROR(INDEX($AN29:$AQ29,1,MATCH(AF30,$AN30:$AQ30,0))),"",INDEX($AN29:$AQ29,1,MATCH(AF30,$AN30:$AQ30,0)))</f>
        <v/>
      </c>
      <c r="AG29" s="571" t="str">
        <f>IF(ISERROR(INDEX($AN29:$AQ29,1,MATCH(AG30,$AN30:$AQ30,0))),"",INDEX($AN29:$AQ29,1,MATCH(AG30,$AN30:$AQ30,0)))</f>
        <v/>
      </c>
      <c r="AH29" s="147"/>
      <c r="AI29" s="571" t="e">
        <f t="array" ref="AI29">IF(COLUMN(AN29)-COLUMN($AM29)&gt;COUNTA($AN29:$AQ29),"",INDEX($AN29:$AQ29,SMALL(IF($AN29:$AQ29&lt;&gt;"",COLUMN($AN29:$AQ29)-COLUMN($AM29),""),COLUMN(AN29)-COLUMN($AM29))))</f>
        <v>#NUM!</v>
      </c>
      <c r="AJ29" s="571" t="e">
        <f t="array" ref="AJ29">IF(COLUMN(AO29)-COLUMN($AM29)&gt;COUNTA($AN29:$AQ29),"",INDEX($AN29:$AQ29,SMALL(IF($AN29:$AQ29&lt;&gt;"",COLUMN($AN29:$AQ29)-COLUMN($AM29),""),COLUMN(AO29)-COLUMN($AM29))))</f>
        <v>#NUM!</v>
      </c>
      <c r="AK29" s="571" t="e">
        <f t="array" ref="AK29">IF(COLUMN(AP29)-COLUMN($AM29)&gt;COUNTA($AN29:$AQ29),"",INDEX($AN29:$AQ29,SMALL(IF($AN29:$AQ29&lt;&gt;"",COLUMN($AN29:$AQ29)-COLUMN($AM29),""),COLUMN(AP29)-COLUMN($AM29))))</f>
        <v>#NUM!</v>
      </c>
      <c r="AL29" s="571" t="e">
        <f t="array" ref="AL29">IF(COLUMN(AQ29)-COLUMN($AM29)&gt;COUNTA($AN29:$AQ29),"",INDEX($AN29:$AQ29,SMALL(IF($AN29:$AQ29&lt;&gt;"",COLUMN($AN29:$AQ29)-COLUMN($AM29),""),COLUMN(AQ29)-COLUMN($AM29))))</f>
        <v>#NUM!</v>
      </c>
      <c r="AN29" s="576" t="str">
        <f>X50</f>
        <v/>
      </c>
      <c r="AO29" s="576" t="str">
        <f>X51</f>
        <v/>
      </c>
      <c r="AP29" s="576" t="str">
        <f>X52</f>
        <v/>
      </c>
      <c r="AQ29" s="576" t="str">
        <f>X53</f>
        <v/>
      </c>
      <c r="AT29" s="107" t="str">
        <f>$AP$17</f>
        <v/>
      </c>
      <c r="AU29" s="142" t="e">
        <f>AK17</f>
        <v>#NUM!</v>
      </c>
      <c r="AV29" s="142" t="str">
        <f>AF17</f>
        <v/>
      </c>
    </row>
    <row r="30" spans="1:48" x14ac:dyDescent="0.15">
      <c r="A30" s="128"/>
      <c r="C30" s="129">
        <v>25</v>
      </c>
      <c r="E30" s="414" t="str">
        <f t="shared" ca="1" si="6"/>
        <v>村上</v>
      </c>
      <c r="F30" s="180">
        <f ca="1">IF(H30="","",IF(シート①入力画面!$AW$45=1,P30,F30))</f>
        <v>0.82179218041170476</v>
      </c>
      <c r="G30" s="128">
        <f t="shared" ca="1" si="0"/>
        <v>0.48936010559007237</v>
      </c>
      <c r="H30" s="129" t="str">
        <f>シート①入力画面!BF95</f>
        <v>坂本</v>
      </c>
      <c r="I30" s="571" t="str">
        <f>IF(シート①入力画面!$AZ$36=1,IF(ISNA(VLOOKUP(H30,$S$6:$T$53,2,FALSE)),H30,VLOOKUP(H30,$S$6:$T$53,2,FALSE)),I30)</f>
        <v>坂本</v>
      </c>
      <c r="J30" s="128"/>
      <c r="K30" s="129" t="str">
        <f t="shared" si="1"/>
        <v/>
      </c>
      <c r="L30" s="129" t="str">
        <f t="shared" si="2"/>
        <v/>
      </c>
      <c r="N30" s="181">
        <f t="shared" ca="1" si="3"/>
        <v>0.82179218041170476</v>
      </c>
      <c r="O30" s="181">
        <f ca="1">IF(ISBLANK(R30),"",IF(シート①入力画面!$AW$45=1,P30,$O30))</f>
        <v>0.82179218041170476</v>
      </c>
      <c r="P30" s="180">
        <f t="shared" ca="1" si="4"/>
        <v>0.82179218041170476</v>
      </c>
      <c r="Q30" s="15" t="str">
        <f t="shared" si="5"/>
        <v/>
      </c>
      <c r="R30" s="176" t="str">
        <f>IF(シート①入力画面!BB94=" --","",IF(シート①入力画面!BB94="","",シート①入力画面!BB94))</f>
        <v/>
      </c>
      <c r="S30" s="571" t="str">
        <f t="array" ref="S30">IF(ROW(R30)-5&gt;(48-COUNTBLANK($R$6:$R$53)),"",INDEX($R$6:$R$53,SMALL(IF($R$6:$R$53&lt;&gt;"",ROW($R$6:$R$53)-5,""),ROW(R30)-5)))</f>
        <v/>
      </c>
      <c r="T30" s="571" t="str">
        <f>IF(シート①入力画面!$AW$45=1,IF(U30="","",VLOOKUP($U30,$K$6:$L$53,2,FALSE)),T30)</f>
        <v/>
      </c>
      <c r="U30" s="575" t="str">
        <f t="shared" si="7"/>
        <v/>
      </c>
      <c r="V30" s="173">
        <v>25</v>
      </c>
      <c r="X30" s="177" t="str">
        <f>IF(シート①入力画面!BW94=" --","",IF(シート①入力画面!BW94="","",シート①入力画面!BW94))</f>
        <v/>
      </c>
      <c r="Y30" s="96"/>
      <c r="Z30" s="130"/>
      <c r="AA30" s="15"/>
      <c r="AD30" s="571" t="e">
        <f>LARGE($AN30:$AQ30,AD$6)</f>
        <v>#NUM!</v>
      </c>
      <c r="AE30" s="571" t="e">
        <f>LARGE($AN30:$AQ30,AE$6)</f>
        <v>#NUM!</v>
      </c>
      <c r="AF30" s="571" t="e">
        <f>LARGE($AN30:$AQ30,AF$6)</f>
        <v>#NUM!</v>
      </c>
      <c r="AG30" s="571" t="e">
        <f>LARGE($AN30:$AQ30,AG$6)</f>
        <v>#NUM!</v>
      </c>
      <c r="AI30" s="571"/>
      <c r="AJ30" s="571"/>
      <c r="AK30" s="571"/>
      <c r="AL30" s="571"/>
      <c r="AN30" s="571" t="str">
        <f>IF(AN29="","",IF(AN29=シート①入力画面!$Q$23,10,VLOOKUP(AN29,集計!$B$6:$F$70,5,FALSE)))</f>
        <v/>
      </c>
      <c r="AO30" s="571" t="str">
        <f>IF(AO29="","",IF(AO29=シート①入力画面!$Q$23,10,VLOOKUP(AO29,集計!$B$6:$F$70,5,FALSE)))</f>
        <v/>
      </c>
      <c r="AP30" s="571" t="str">
        <f>IF(AP29="","",IF(AP29=シート①入力画面!$Q$23,10,VLOOKUP(AP29,集計!$B$6:$F$70,5,FALSE)))</f>
        <v/>
      </c>
      <c r="AQ30" s="571" t="str">
        <f>IF(AQ29="","",IF(AQ29=シート①入力画面!$Q$23,10,VLOOKUP(AQ29,集計!$B$6:$F$70,5,FALSE)))</f>
        <v/>
      </c>
      <c r="AT30" s="107" t="str">
        <f>$AQ$17</f>
        <v/>
      </c>
      <c r="AU30" s="142" t="e">
        <f>AL17</f>
        <v>#NUM!</v>
      </c>
      <c r="AV30" s="142" t="str">
        <f>AG17</f>
        <v/>
      </c>
    </row>
    <row r="31" spans="1:48" x14ac:dyDescent="0.15">
      <c r="A31" s="128"/>
      <c r="C31" s="129">
        <v>26</v>
      </c>
      <c r="E31" s="414" t="str">
        <f t="shared" ca="1" si="6"/>
        <v>奥原</v>
      </c>
      <c r="F31" s="180">
        <f ca="1">IF(H31="","",IF(シート①入力画面!$AW$45=1,P31,F31))</f>
        <v>0.31255989380194593</v>
      </c>
      <c r="G31" s="128">
        <f t="shared" ca="1" si="0"/>
        <v>0.62432864725594839</v>
      </c>
      <c r="H31" s="129" t="str">
        <f>シート①入力画面!BF96</f>
        <v>佐藤清</v>
      </c>
      <c r="I31" s="571" t="str">
        <f>IF(シート①入力画面!$AZ$36=1,IF(ISNA(VLOOKUP(H31,$S$6:$T$53,2,FALSE)),H31,VLOOKUP(H31,$S$6:$T$53,2,FALSE)),I31)</f>
        <v>佐藤清</v>
      </c>
      <c r="J31" s="128"/>
      <c r="K31" s="129" t="str">
        <f t="shared" si="1"/>
        <v/>
      </c>
      <c r="L31" s="129" t="str">
        <f t="shared" si="2"/>
        <v/>
      </c>
      <c r="N31" s="181">
        <f t="shared" ca="1" si="3"/>
        <v>0.31255989380194593</v>
      </c>
      <c r="O31" s="181">
        <f ca="1">IF(ISBLANK(R31),"",IF(シート①入力画面!$AW$45=1,P31,$O31))</f>
        <v>0.31255989380194593</v>
      </c>
      <c r="P31" s="180">
        <f t="shared" ca="1" si="4"/>
        <v>0.31255989380194593</v>
      </c>
      <c r="Q31" s="15" t="str">
        <f t="shared" si="5"/>
        <v/>
      </c>
      <c r="R31" s="176" t="str">
        <f>IF(シート①入力画面!BB95=" --","",IF(シート①入力画面!BB95="","",シート①入力画面!BB95))</f>
        <v/>
      </c>
      <c r="S31" s="571" t="str">
        <f t="array" ref="S31">IF(ROW(R31)-5&gt;(48-COUNTBLANK($R$6:$R$53)),"",INDEX($R$6:$R$53,SMALL(IF($R$6:$R$53&lt;&gt;"",ROW($R$6:$R$53)-5,""),ROW(R31)-5)))</f>
        <v/>
      </c>
      <c r="T31" s="571" t="str">
        <f>IF(シート①入力画面!$AW$45=1,IF(U31="","",VLOOKUP($U31,$K$6:$L$53,2,FALSE)),T31)</f>
        <v/>
      </c>
      <c r="U31" s="575" t="str">
        <f t="shared" si="7"/>
        <v/>
      </c>
      <c r="V31" s="173">
        <v>26</v>
      </c>
      <c r="X31" s="177" t="str">
        <f>IF(シート①入力画面!BW95=" --","",IF(シート①入力画面!BW95="","",シート①入力画面!BW95))</f>
        <v/>
      </c>
      <c r="Y31" s="96"/>
      <c r="Z31" s="130"/>
      <c r="AA31" s="15"/>
      <c r="AP31" s="182"/>
      <c r="AQ31" s="182"/>
      <c r="AT31" s="107" t="str">
        <f>$AN$19</f>
        <v/>
      </c>
      <c r="AU31" s="142" t="e">
        <f>AI19</f>
        <v>#NUM!</v>
      </c>
      <c r="AV31" s="142" t="str">
        <f>AD19</f>
        <v/>
      </c>
    </row>
    <row r="32" spans="1:48" x14ac:dyDescent="0.15">
      <c r="A32" s="128"/>
      <c r="C32" s="129">
        <v>27</v>
      </c>
      <c r="E32" s="414" t="str">
        <f t="shared" ca="1" si="6"/>
        <v>伊藤</v>
      </c>
      <c r="F32" s="180">
        <f ca="1">IF(H32="","",IF(シート①入力画面!$AW$45=1,P32,F32))</f>
        <v>0.10321761011697128</v>
      </c>
      <c r="G32" s="128">
        <f t="shared" ca="1" si="0"/>
        <v>0.63388522216308796</v>
      </c>
      <c r="H32" s="129" t="str">
        <f>シート①入力画面!BF97</f>
        <v>里中</v>
      </c>
      <c r="I32" s="571" t="str">
        <f>IF(シート①入力画面!$AZ$36=1,IF(ISNA(VLOOKUP(H32,$S$6:$T$53,2,FALSE)),H32,VLOOKUP(H32,$S$6:$T$53,2,FALSE)),I32)</f>
        <v>里中</v>
      </c>
      <c r="J32" s="128"/>
      <c r="K32" s="129" t="str">
        <f t="shared" si="1"/>
        <v/>
      </c>
      <c r="L32" s="129" t="str">
        <f t="shared" si="2"/>
        <v/>
      </c>
      <c r="N32" s="181">
        <f t="shared" ca="1" si="3"/>
        <v>0.10321761011697128</v>
      </c>
      <c r="O32" s="181">
        <f ca="1">IF(ISBLANK(R32),"",IF(シート①入力画面!$AW$45=1,P32,$O32))</f>
        <v>0.10321761011697128</v>
      </c>
      <c r="P32" s="180">
        <f t="shared" ca="1" si="4"/>
        <v>0.10321761011697128</v>
      </c>
      <c r="Q32" s="15" t="str">
        <f t="shared" si="5"/>
        <v/>
      </c>
      <c r="R32" s="176" t="str">
        <f>IF(シート①入力画面!BB96=" --","",IF(シート①入力画面!BB96="","",シート①入力画面!BB96))</f>
        <v/>
      </c>
      <c r="S32" s="571" t="str">
        <f t="array" ref="S32">IF(ROW(R32)-5&gt;(48-COUNTBLANK($R$6:$R$53)),"",INDEX($R$6:$R$53,SMALL(IF($R$6:$R$53&lt;&gt;"",ROW($R$6:$R$53)-5,""),ROW(R32)-5)))</f>
        <v/>
      </c>
      <c r="T32" s="571" t="str">
        <f>IF(シート①入力画面!$AW$45=1,IF(U32="","",VLOOKUP($U32,$K$6:$L$53,2,FALSE)),T32)</f>
        <v/>
      </c>
      <c r="U32" s="575" t="str">
        <f t="shared" si="7"/>
        <v/>
      </c>
      <c r="V32" s="173">
        <v>27</v>
      </c>
      <c r="X32" s="177" t="str">
        <f>IF(シート①入力画面!BW96=" --","",IF(シート①入力画面!BW96="","",シート①入力画面!BW96))</f>
        <v/>
      </c>
      <c r="Y32" s="96"/>
      <c r="Z32" s="130"/>
      <c r="AA32" s="15"/>
      <c r="AT32" s="107" t="str">
        <f>$AO$19</f>
        <v/>
      </c>
      <c r="AU32" s="142" t="e">
        <f>AJ19</f>
        <v>#NUM!</v>
      </c>
      <c r="AV32" s="142" t="str">
        <f>AE19</f>
        <v/>
      </c>
    </row>
    <row r="33" spans="1:48" x14ac:dyDescent="0.15">
      <c r="A33" s="128"/>
      <c r="C33" s="129">
        <v>28</v>
      </c>
      <c r="E33" s="414" t="str">
        <f t="shared" ca="1" si="6"/>
        <v>山中</v>
      </c>
      <c r="F33" s="180">
        <f ca="1">IF(H33="","",IF(シート①入力画面!$AW$45=1,P33,F33))</f>
        <v>0.20645022854323014</v>
      </c>
      <c r="G33" s="128">
        <f t="shared" ca="1" si="0"/>
        <v>0.63434742496840324</v>
      </c>
      <c r="H33" s="129" t="str">
        <f>シート①入力画面!BF98</f>
        <v>佐土原</v>
      </c>
      <c r="I33" s="571" t="str">
        <f>IF(シート①入力画面!$AZ$36=1,IF(ISNA(VLOOKUP(H33,$S$6:$T$53,2,FALSE)),H33,VLOOKUP(H33,$S$6:$T$53,2,FALSE)),I33)</f>
        <v>佐土原</v>
      </c>
      <c r="J33" s="128"/>
      <c r="K33" s="129" t="str">
        <f t="shared" si="1"/>
        <v/>
      </c>
      <c r="L33" s="129" t="str">
        <f t="shared" si="2"/>
        <v/>
      </c>
      <c r="N33" s="181">
        <f t="shared" ca="1" si="3"/>
        <v>0.20645022854323014</v>
      </c>
      <c r="O33" s="181">
        <f ca="1">IF(ISBLANK(R33),"",IF(シート①入力画面!$AW$45=1,P33,$O33))</f>
        <v>0.20645022854323014</v>
      </c>
      <c r="P33" s="180">
        <f t="shared" ca="1" si="4"/>
        <v>0.20645022854323014</v>
      </c>
      <c r="Q33" s="15" t="str">
        <f t="shared" si="5"/>
        <v/>
      </c>
      <c r="R33" s="176" t="str">
        <f>IF(シート①入力画面!BB97=" --","",IF(シート①入力画面!BB97="","",シート①入力画面!BB97))</f>
        <v/>
      </c>
      <c r="S33" s="571" t="str">
        <f t="array" ref="S33">IF(ROW(R33)-5&gt;(48-COUNTBLANK($R$6:$R$53)),"",INDEX($R$6:$R$53,SMALL(IF($R$6:$R$53&lt;&gt;"",ROW($R$6:$R$53)-5,""),ROW(R33)-5)))</f>
        <v/>
      </c>
      <c r="T33" s="571" t="str">
        <f>IF(シート①入力画面!$AW$45=1,IF(U33="","",VLOOKUP($U33,$K$6:$L$53,2,FALSE)),T33)</f>
        <v/>
      </c>
      <c r="U33" s="575" t="str">
        <f t="shared" si="7"/>
        <v/>
      </c>
      <c r="V33" s="173">
        <f>1+V32</f>
        <v>28</v>
      </c>
      <c r="X33" s="177" t="str">
        <f>IF(シート①入力画面!BW97=" --","",IF(シート①入力画面!BW97="","",シート①入力画面!BW97))</f>
        <v/>
      </c>
      <c r="Y33" s="96"/>
      <c r="Z33" s="130"/>
      <c r="AA33" s="15"/>
      <c r="AT33" s="107" t="str">
        <f>$AP$19</f>
        <v/>
      </c>
      <c r="AU33" s="142" t="e">
        <f>AK19</f>
        <v>#NUM!</v>
      </c>
      <c r="AV33" s="142" t="str">
        <f>AF19</f>
        <v/>
      </c>
    </row>
    <row r="34" spans="1:48" x14ac:dyDescent="0.15">
      <c r="A34" s="128"/>
      <c r="C34" s="129">
        <v>29</v>
      </c>
      <c r="E34" s="414" t="str">
        <f t="shared" ca="1" si="6"/>
        <v>渡辺政</v>
      </c>
      <c r="F34" s="180">
        <f ca="1">IF(H34="","",IF(シート①入力画面!$AW$45=1,P34,F34))</f>
        <v>6.1637662138293137E-2</v>
      </c>
      <c r="G34" s="128">
        <f t="shared" ca="1" si="0"/>
        <v>0.63694905036404659</v>
      </c>
      <c r="H34" s="129" t="str">
        <f>シート①入力画面!BF99</f>
        <v>塩崎</v>
      </c>
      <c r="I34" s="571" t="str">
        <f>IF(シート①入力画面!$AZ$36=1,IF(ISNA(VLOOKUP(H34,$S$6:$T$53,2,FALSE)),H34,VLOOKUP(H34,$S$6:$T$53,2,FALSE)),I34)</f>
        <v>塩崎</v>
      </c>
      <c r="J34" s="128"/>
      <c r="K34" s="129" t="str">
        <f t="shared" si="1"/>
        <v/>
      </c>
      <c r="L34" s="129" t="str">
        <f t="shared" si="2"/>
        <v/>
      </c>
      <c r="N34" s="181">
        <f t="shared" ca="1" si="3"/>
        <v>6.1637662138293137E-2</v>
      </c>
      <c r="O34" s="181">
        <f ca="1">IF(ISBLANK(R34),"",IF(シート①入力画面!$AW$45=1,P34,$O34))</f>
        <v>6.1637662138293137E-2</v>
      </c>
      <c r="P34" s="180">
        <f t="shared" ca="1" si="4"/>
        <v>6.1637662138293137E-2</v>
      </c>
      <c r="Q34" s="15" t="str">
        <f t="shared" si="5"/>
        <v/>
      </c>
      <c r="R34" s="176" t="str">
        <f>IF(シート①入力画面!BB98=" --","",IF(シート①入力画面!BB98="","",シート①入力画面!BB98))</f>
        <v/>
      </c>
      <c r="S34" s="571" t="str">
        <f t="array" ref="S34">IF(ROW(R34)-5&gt;(48-COUNTBLANK($R$6:$R$53)),"",INDEX($R$6:$R$53,SMALL(IF($R$6:$R$53&lt;&gt;"",ROW($R$6:$R$53)-5,""),ROW(R34)-5)))</f>
        <v/>
      </c>
      <c r="T34" s="571" t="str">
        <f>IF(シート①入力画面!$AW$45=1,IF(U34="","",VLOOKUP($U34,$K$6:$L$53,2,FALSE)),T34)</f>
        <v/>
      </c>
      <c r="U34" s="575" t="str">
        <f t="shared" si="7"/>
        <v/>
      </c>
      <c r="V34" s="173">
        <f t="shared" ref="V34:V53" si="8">1+V33</f>
        <v>29</v>
      </c>
      <c r="X34" s="177" t="str">
        <f>IF(シート①入力画面!BW98=" --","",IF(シート①入力画面!BW98="","",シート①入力画面!BW98))</f>
        <v/>
      </c>
      <c r="Y34" s="96"/>
      <c r="Z34" s="130"/>
      <c r="AA34" s="15"/>
      <c r="AN34" s="147" t="s">
        <v>70</v>
      </c>
      <c r="AT34" s="107" t="str">
        <f>$AQ$19</f>
        <v/>
      </c>
      <c r="AU34" s="142" t="e">
        <f>AL19</f>
        <v>#NUM!</v>
      </c>
      <c r="AV34" s="142" t="str">
        <f>AG19</f>
        <v/>
      </c>
    </row>
    <row r="35" spans="1:48" x14ac:dyDescent="0.15">
      <c r="A35" s="128"/>
      <c r="C35" s="129">
        <v>30</v>
      </c>
      <c r="E35" s="414" t="str">
        <f t="shared" ca="1" si="6"/>
        <v>市来</v>
      </c>
      <c r="F35" s="180">
        <f ca="1">IF(H35="","",IF(シート①入力画面!$AW$45=1,P35,F35))</f>
        <v>0.71233725274845427</v>
      </c>
      <c r="G35" s="128">
        <f t="shared" ca="1" si="0"/>
        <v>0.64929203758817644</v>
      </c>
      <c r="H35" s="129" t="str">
        <f>シート①入力画面!BF100</f>
        <v>鈴木</v>
      </c>
      <c r="I35" s="571" t="str">
        <f>IF(シート①入力画面!$AZ$36=1,IF(ISNA(VLOOKUP(H35,$S$6:$T$53,2,FALSE)),H35,VLOOKUP(H35,$S$6:$T$53,2,FALSE)),I35)</f>
        <v>鈴木</v>
      </c>
      <c r="J35" s="128"/>
      <c r="K35" s="129" t="str">
        <f t="shared" si="1"/>
        <v/>
      </c>
      <c r="L35" s="129" t="str">
        <f t="shared" si="2"/>
        <v/>
      </c>
      <c r="N35" s="181">
        <f t="shared" ca="1" si="3"/>
        <v>0.71233725274845427</v>
      </c>
      <c r="O35" s="181">
        <f ca="1">IF(ISBLANK(R35),"",IF(シート①入力画面!$AW$45=1,P35,$O35))</f>
        <v>0.71233725274845427</v>
      </c>
      <c r="P35" s="180">
        <f t="shared" ca="1" si="4"/>
        <v>0.71233725274845427</v>
      </c>
      <c r="Q35" s="15" t="str">
        <f t="shared" si="5"/>
        <v/>
      </c>
      <c r="R35" s="176" t="str">
        <f>IF(シート①入力画面!BB99=" --","",IF(シート①入力画面!BB99="","",シート①入力画面!BB99))</f>
        <v/>
      </c>
      <c r="S35" s="571" t="str">
        <f t="array" ref="S35">IF(ROW(R35)-5&gt;(48-COUNTBLANK($R$6:$R$53)),"",INDEX($R$6:$R$53,SMALL(IF($R$6:$R$53&lt;&gt;"",ROW($R$6:$R$53)-5,""),ROW(R35)-5)))</f>
        <v/>
      </c>
      <c r="T35" s="571" t="str">
        <f>IF(シート①入力画面!$AW$45=1,IF(U35="","",VLOOKUP($U35,$K$6:$L$53,2,FALSE)),T35)</f>
        <v/>
      </c>
      <c r="U35" s="575" t="str">
        <f t="shared" si="7"/>
        <v/>
      </c>
      <c r="V35" s="173">
        <f t="shared" si="8"/>
        <v>30</v>
      </c>
      <c r="X35" s="177" t="str">
        <f>IF(シート①入力画面!BW99=" --","",IF(シート①入力画面!BW99="","",シート①入力画面!BW99))</f>
        <v/>
      </c>
      <c r="Y35" s="96"/>
      <c r="Z35" s="130"/>
      <c r="AA35" s="15"/>
      <c r="AN35" s="147"/>
      <c r="AT35" s="107" t="str">
        <f>$AN$21</f>
        <v/>
      </c>
      <c r="AU35" s="142" t="e">
        <f>AI21</f>
        <v>#NUM!</v>
      </c>
      <c r="AV35" s="142" t="str">
        <f>AD21</f>
        <v/>
      </c>
    </row>
    <row r="36" spans="1:48" x14ac:dyDescent="0.15">
      <c r="A36" s="128"/>
      <c r="C36" s="129">
        <v>31</v>
      </c>
      <c r="E36" s="414" t="str">
        <f t="shared" ca="1" si="6"/>
        <v>森</v>
      </c>
      <c r="F36" s="180">
        <f ca="1">IF(H36="","",IF(シート①入力画面!$AW$45=1,P36,F36))</f>
        <v>0.42509946553374811</v>
      </c>
      <c r="G36" s="128">
        <f t="shared" ca="1" si="0"/>
        <v>0.65231751413233452</v>
      </c>
      <c r="H36" s="129" t="str">
        <f>シート①入力画面!BF101</f>
        <v>高木</v>
      </c>
      <c r="I36" s="571" t="str">
        <f>IF(シート①入力画面!$AZ$36=1,IF(ISNA(VLOOKUP(H36,$S$6:$T$53,2,FALSE)),H36,VLOOKUP(H36,$S$6:$T$53,2,FALSE)),I36)</f>
        <v>高木</v>
      </c>
      <c r="J36" s="128"/>
      <c r="K36" s="129" t="str">
        <f t="shared" si="1"/>
        <v/>
      </c>
      <c r="L36" s="129" t="str">
        <f t="shared" si="2"/>
        <v/>
      </c>
      <c r="N36" s="181">
        <f t="shared" ca="1" si="3"/>
        <v>0.42509946553374811</v>
      </c>
      <c r="O36" s="181">
        <f ca="1">IF(ISBLANK(R36),"",IF(シート①入力画面!$AW$45=1,P36,$O36))</f>
        <v>0.42509946553374811</v>
      </c>
      <c r="P36" s="180">
        <f t="shared" ca="1" si="4"/>
        <v>0.42509946553374811</v>
      </c>
      <c r="Q36" s="15" t="str">
        <f t="shared" si="5"/>
        <v/>
      </c>
      <c r="R36" s="176" t="str">
        <f>IF(シート①入力画面!BB100=" --","",IF(シート①入力画面!BB100="","",シート①入力画面!BB100))</f>
        <v/>
      </c>
      <c r="S36" s="571" t="str">
        <f t="array" ref="S36">IF(ROW(R36)-5&gt;(48-COUNTBLANK($R$6:$R$53)),"",INDEX($R$6:$R$53,SMALL(IF($R$6:$R$53&lt;&gt;"",ROW($R$6:$R$53)-5,""),ROW(R36)-5)))</f>
        <v/>
      </c>
      <c r="T36" s="571" t="str">
        <f>IF(シート①入力画面!$AW$45=1,IF(U36="","",VLOOKUP($U36,$K$6:$L$53,2,FALSE)),T36)</f>
        <v/>
      </c>
      <c r="U36" s="575" t="str">
        <f t="shared" si="7"/>
        <v/>
      </c>
      <c r="V36" s="173">
        <f t="shared" si="8"/>
        <v>31</v>
      </c>
      <c r="X36" s="177" t="str">
        <f>IF(シート①入力画面!BW100=" --","",IF(シート①入力画面!BW100="","",シート①入力画面!BW100))</f>
        <v/>
      </c>
      <c r="Y36" s="96"/>
      <c r="Z36" s="130"/>
      <c r="AA36" s="15"/>
      <c r="AN36" s="182" t="s">
        <v>111</v>
      </c>
      <c r="AO36" s="182"/>
      <c r="AT36" s="107" t="str">
        <f>$AO$21</f>
        <v/>
      </c>
      <c r="AU36" s="142" t="e">
        <f>AJ21</f>
        <v>#NUM!</v>
      </c>
      <c r="AV36" s="142" t="str">
        <f>AE21</f>
        <v/>
      </c>
    </row>
    <row r="37" spans="1:48" x14ac:dyDescent="0.15">
      <c r="A37" s="128"/>
      <c r="C37" s="129">
        <v>32</v>
      </c>
      <c r="E37" s="414" t="str">
        <f t="shared" ca="1" si="6"/>
        <v>南村</v>
      </c>
      <c r="F37" s="180">
        <f ca="1">IF(H37="","",IF(シート①入力画面!$AW$45=1,P37,F37))</f>
        <v>5.3866770582373991E-2</v>
      </c>
      <c r="G37" s="128">
        <f t="shared" ca="1" si="0"/>
        <v>0.66121463722950402</v>
      </c>
      <c r="H37" s="129" t="str">
        <f>シート①入力画面!BF102</f>
        <v>田中</v>
      </c>
      <c r="I37" s="571" t="str">
        <f>IF(シート①入力画面!$AZ$36=1,IF(ISNA(VLOOKUP(H37,$S$6:$T$53,2,FALSE)),H37,VLOOKUP(H37,$S$6:$T$53,2,FALSE)),I37)</f>
        <v>田中</v>
      </c>
      <c r="J37" s="128"/>
      <c r="K37" s="129" t="str">
        <f t="shared" si="1"/>
        <v/>
      </c>
      <c r="L37" s="129" t="str">
        <f t="shared" si="2"/>
        <v/>
      </c>
      <c r="N37" s="181">
        <f t="shared" ca="1" si="3"/>
        <v>5.3866770582373991E-2</v>
      </c>
      <c r="O37" s="181">
        <f ca="1">IF(ISBLANK(R37),"",IF(シート①入力画面!$AW$45=1,P37,$O37))</f>
        <v>5.3866770582373991E-2</v>
      </c>
      <c r="P37" s="180">
        <f t="shared" ca="1" si="4"/>
        <v>5.3866770582373991E-2</v>
      </c>
      <c r="Q37" s="15" t="str">
        <f t="shared" si="5"/>
        <v/>
      </c>
      <c r="R37" s="176" t="str">
        <f>IF(シート①入力画面!BB101=" --","",IF(シート①入力画面!BB101="","",シート①入力画面!BB101))</f>
        <v/>
      </c>
      <c r="S37" s="571" t="str">
        <f t="array" ref="S37">IF(ROW(R37)-5&gt;(48-COUNTBLANK($R$6:$R$53)),"",INDEX($R$6:$R$53,SMALL(IF($R$6:$R$53&lt;&gt;"",ROW($R$6:$R$53)-5,""),ROW(R37)-5)))</f>
        <v/>
      </c>
      <c r="T37" s="571" t="str">
        <f>IF(シート①入力画面!$AW$45=1,IF(U37="","",VLOOKUP($U37,$K$6:$L$53,2,FALSE)),T37)</f>
        <v/>
      </c>
      <c r="U37" s="575" t="str">
        <f t="shared" si="7"/>
        <v/>
      </c>
      <c r="V37" s="173">
        <f t="shared" si="8"/>
        <v>32</v>
      </c>
      <c r="X37" s="177" t="str">
        <f>IF(シート①入力画面!BW101=" --","",IF(シート①入力画面!BW101="","",シート①入力画面!BW101))</f>
        <v/>
      </c>
      <c r="Y37" s="96"/>
      <c r="Z37" s="130"/>
      <c r="AA37" s="15"/>
      <c r="AN37" s="182" t="s">
        <v>112</v>
      </c>
      <c r="AO37" s="182"/>
      <c r="AT37" s="107" t="str">
        <f>$AP$21</f>
        <v/>
      </c>
      <c r="AU37" s="142" t="e">
        <f>AK21</f>
        <v>#NUM!</v>
      </c>
      <c r="AV37" s="142" t="str">
        <f>AF21</f>
        <v/>
      </c>
    </row>
    <row r="38" spans="1:48" x14ac:dyDescent="0.15">
      <c r="A38" s="128"/>
      <c r="C38" s="129">
        <v>33</v>
      </c>
      <c r="E38" s="414" t="str">
        <f t="shared" ca="1" si="6"/>
        <v>村中</v>
      </c>
      <c r="F38" s="180">
        <f ca="1">IF(H38="","",IF(シート①入力画面!$AW$45=1,P38,F38))</f>
        <v>0.14434639561162221</v>
      </c>
      <c r="G38" s="128">
        <f t="shared" ca="1" si="0"/>
        <v>0.66169192216125949</v>
      </c>
      <c r="H38" s="129" t="str">
        <f>シート①入力画面!BF103</f>
        <v>塚越</v>
      </c>
      <c r="I38" s="571" t="str">
        <f>IF(シート①入力画面!$AZ$36=1,IF(ISNA(VLOOKUP(H38,$S$6:$T$53,2,FALSE)),H38,VLOOKUP(H38,$S$6:$T$53,2,FALSE)),I38)</f>
        <v>塚越</v>
      </c>
      <c r="J38" s="128"/>
      <c r="K38" s="129" t="str">
        <f t="shared" si="1"/>
        <v/>
      </c>
      <c r="L38" s="129" t="str">
        <f t="shared" si="2"/>
        <v/>
      </c>
      <c r="N38" s="181">
        <f t="shared" ca="1" si="3"/>
        <v>0.14434639561162221</v>
      </c>
      <c r="O38" s="181">
        <f ca="1">IF(ISBLANK(R38),"",IF(シート①入力画面!$AW$45=1,P38,$O38))</f>
        <v>0.14434639561162221</v>
      </c>
      <c r="P38" s="180">
        <f t="shared" ca="1" si="4"/>
        <v>0.14434639561162221</v>
      </c>
      <c r="Q38" s="15" t="str">
        <f t="shared" si="5"/>
        <v/>
      </c>
      <c r="R38" s="176" t="str">
        <f>IF(シート①入力画面!BB102=" --","",IF(シート①入力画面!BB102="","",シート①入力画面!BB102))</f>
        <v/>
      </c>
      <c r="S38" s="571" t="str">
        <f t="array" ref="S38">IF(ROW(R38)-5&gt;(48-COUNTBLANK($R$6:$R$53)),"",INDEX($R$6:$R$53,SMALL(IF($R$6:$R$53&lt;&gt;"",ROW($R$6:$R$53)-5,""),ROW(R38)-5)))</f>
        <v/>
      </c>
      <c r="T38" s="571" t="str">
        <f>IF(シート①入力画面!$AW$45=1,IF(U38="","",VLOOKUP($U38,$K$6:$L$53,2,FALSE)),T38)</f>
        <v/>
      </c>
      <c r="U38" s="575" t="str">
        <f t="shared" si="7"/>
        <v/>
      </c>
      <c r="V38" s="173">
        <f t="shared" si="8"/>
        <v>33</v>
      </c>
      <c r="X38" s="177" t="str">
        <f>IF(シート①入力画面!BW102=" --","",IF(シート①入力画面!BW102="","",シート①入力画面!BW102))</f>
        <v/>
      </c>
      <c r="Y38" s="96"/>
      <c r="Z38" s="130"/>
      <c r="AA38" s="15"/>
      <c r="AT38" s="107" t="str">
        <f>$AQ$21</f>
        <v/>
      </c>
      <c r="AU38" s="142" t="e">
        <f>AL21</f>
        <v>#NUM!</v>
      </c>
      <c r="AV38" s="142" t="str">
        <f>AG21</f>
        <v/>
      </c>
    </row>
    <row r="39" spans="1:48" x14ac:dyDescent="0.15">
      <c r="A39" s="128"/>
      <c r="C39" s="129">
        <v>34</v>
      </c>
      <c r="E39" s="414" t="str">
        <f t="shared" ca="1" si="6"/>
        <v>興津</v>
      </c>
      <c r="F39" s="180">
        <f ca="1">IF(H39="","",IF(シート①入力画面!$AW$45=1,P39,F39))</f>
        <v>0.86978825493375056</v>
      </c>
      <c r="G39" s="128">
        <f t="shared" ca="1" si="0"/>
        <v>0.67028372015508908</v>
      </c>
      <c r="H39" s="129" t="str">
        <f>シート①入力画面!BF104</f>
        <v>次橋</v>
      </c>
      <c r="I39" s="571" t="str">
        <f>IF(シート①入力画面!$AZ$36=1,IF(ISNA(VLOOKUP(H39,$S$6:$T$53,2,FALSE)),H39,VLOOKUP(H39,$S$6:$T$53,2,FALSE)),I39)</f>
        <v>次橋</v>
      </c>
      <c r="J39" s="128"/>
      <c r="K39" s="129" t="str">
        <f t="shared" si="1"/>
        <v/>
      </c>
      <c r="L39" s="129" t="str">
        <f t="shared" si="2"/>
        <v/>
      </c>
      <c r="N39" s="181">
        <f t="shared" ca="1" si="3"/>
        <v>0.86978825493375056</v>
      </c>
      <c r="O39" s="181">
        <f ca="1">IF(ISBLANK(R39),"",IF(シート①入力画面!$AW$45=1,P39,$O39))</f>
        <v>0.86978825493375056</v>
      </c>
      <c r="P39" s="180">
        <f t="shared" ca="1" si="4"/>
        <v>0.86978825493375056</v>
      </c>
      <c r="Q39" s="15" t="str">
        <f t="shared" si="5"/>
        <v/>
      </c>
      <c r="R39" s="176" t="str">
        <f>IF(シート①入力画面!BB103=" --","",IF(シート①入力画面!BB103="","",シート①入力画面!BB103))</f>
        <v/>
      </c>
      <c r="S39" s="571" t="str">
        <f t="array" ref="S39">IF(ROW(R39)-5&gt;(48-COUNTBLANK($R$6:$R$53)),"",INDEX($R$6:$R$53,SMALL(IF($R$6:$R$53&lt;&gt;"",ROW($R$6:$R$53)-5,""),ROW(R39)-5)))</f>
        <v/>
      </c>
      <c r="T39" s="571" t="str">
        <f>IF(シート①入力画面!$AW$45=1,IF(U39="","",VLOOKUP($U39,$K$6:$L$53,2,FALSE)),T39)</f>
        <v/>
      </c>
      <c r="U39" s="575" t="str">
        <f t="shared" si="7"/>
        <v/>
      </c>
      <c r="V39" s="173">
        <f t="shared" si="8"/>
        <v>34</v>
      </c>
      <c r="X39" s="177" t="str">
        <f>IF(シート①入力画面!BW103=" --","",IF(シート①入力画面!BW103="","",シート①入力画面!BW103))</f>
        <v/>
      </c>
      <c r="Y39" s="96"/>
      <c r="Z39" s="130"/>
      <c r="AA39" s="15"/>
      <c r="AT39" s="107" t="str">
        <f>$AN$23</f>
        <v/>
      </c>
      <c r="AU39" s="142" t="e">
        <f>AI23</f>
        <v>#NUM!</v>
      </c>
      <c r="AV39" s="142" t="str">
        <f>AD23</f>
        <v/>
      </c>
    </row>
    <row r="40" spans="1:48" x14ac:dyDescent="0.15">
      <c r="A40" s="128"/>
      <c r="C40" s="129">
        <v>35</v>
      </c>
      <c r="E40" s="414" t="str">
        <f t="shared" ca="1" si="6"/>
        <v>神崎</v>
      </c>
      <c r="F40" s="180">
        <f ca="1">IF(H40="","",IF(シート①入力画面!$AW$45=1,P40,F40))</f>
        <v>0.42871915206397737</v>
      </c>
      <c r="G40" s="128">
        <f t="shared" ca="1" si="0"/>
        <v>0.67858532698540763</v>
      </c>
      <c r="H40" s="129" t="str">
        <f>シート①入力画面!BF105</f>
        <v>坪原</v>
      </c>
      <c r="I40" s="571" t="str">
        <f>IF(シート①入力画面!$AZ$36=1,IF(ISNA(VLOOKUP(H40,$S$6:$T$53,2,FALSE)),H40,VLOOKUP(H40,$S$6:$T$53,2,FALSE)),I40)</f>
        <v>坪原</v>
      </c>
      <c r="J40" s="128"/>
      <c r="K40" s="129" t="str">
        <f t="shared" si="1"/>
        <v/>
      </c>
      <c r="L40" s="129" t="str">
        <f t="shared" si="2"/>
        <v/>
      </c>
      <c r="N40" s="181">
        <f t="shared" ca="1" si="3"/>
        <v>0.42871915206397737</v>
      </c>
      <c r="O40" s="181">
        <f ca="1">IF(ISBLANK(R40),"",IF(シート①入力画面!$AW$45=1,P40,$O40))</f>
        <v>0.42871915206397737</v>
      </c>
      <c r="P40" s="180">
        <f t="shared" ca="1" si="4"/>
        <v>0.42871915206397737</v>
      </c>
      <c r="Q40" s="15" t="str">
        <f t="shared" si="5"/>
        <v/>
      </c>
      <c r="R40" s="176" t="str">
        <f>IF(シート①入力画面!BB104=" --","",IF(シート①入力画面!BB104="","",シート①入力画面!BB104))</f>
        <v/>
      </c>
      <c r="S40" s="571" t="str">
        <f t="array" ref="S40">IF(ROW(R40)-5&gt;(48-COUNTBLANK($R$6:$R$53)),"",INDEX($R$6:$R$53,SMALL(IF($R$6:$R$53&lt;&gt;"",ROW($R$6:$R$53)-5,""),ROW(R40)-5)))</f>
        <v/>
      </c>
      <c r="T40" s="571" t="str">
        <f>IF(シート①入力画面!$AW$45=1,IF(U40="","",VLOOKUP($U40,$K$6:$L$53,2,FALSE)),T40)</f>
        <v/>
      </c>
      <c r="U40" s="575" t="str">
        <f t="shared" si="7"/>
        <v/>
      </c>
      <c r="V40" s="173">
        <f t="shared" si="8"/>
        <v>35</v>
      </c>
      <c r="X40" s="177" t="str">
        <f>IF(シート①入力画面!BW104=" --","",IF(シート①入力画面!BW104="","",シート①入力画面!BW104))</f>
        <v/>
      </c>
      <c r="Y40" s="96"/>
      <c r="Z40" s="130"/>
      <c r="AA40" s="15"/>
      <c r="AT40" s="107" t="str">
        <f>$AO$23</f>
        <v/>
      </c>
      <c r="AU40" s="142" t="e">
        <f>AJ23</f>
        <v>#NUM!</v>
      </c>
      <c r="AV40" s="142" t="str">
        <f>AE23</f>
        <v/>
      </c>
    </row>
    <row r="41" spans="1:48" x14ac:dyDescent="0.15">
      <c r="A41" s="128"/>
      <c r="C41" s="129">
        <v>36</v>
      </c>
      <c r="E41" s="414" t="str">
        <f t="shared" ca="1" si="6"/>
        <v>上田</v>
      </c>
      <c r="F41" s="180">
        <f ca="1">IF(H41="","",IF(シート①入力画面!$AW$45=1,P41,F41))</f>
        <v>2.9057096532579263E-2</v>
      </c>
      <c r="G41" s="128">
        <f t="shared" ca="1" si="0"/>
        <v>0.67865556584742504</v>
      </c>
      <c r="H41" s="129" t="str">
        <f>シート①入力画面!BF106</f>
        <v>豊島</v>
      </c>
      <c r="I41" s="571" t="str">
        <f>IF(シート①入力画面!$AZ$36=1,IF(ISNA(VLOOKUP(H41,$S$6:$T$53,2,FALSE)),H41,VLOOKUP(H41,$S$6:$T$53,2,FALSE)),I41)</f>
        <v>豊島</v>
      </c>
      <c r="J41" s="128"/>
      <c r="K41" s="129" t="str">
        <f t="shared" si="1"/>
        <v/>
      </c>
      <c r="L41" s="129" t="str">
        <f t="shared" si="2"/>
        <v/>
      </c>
      <c r="N41" s="181">
        <f t="shared" ca="1" si="3"/>
        <v>2.9057096532579263E-2</v>
      </c>
      <c r="O41" s="181">
        <f ca="1">IF(ISBLANK(R41),"",IF(シート①入力画面!$AW$45=1,P41,$O41))</f>
        <v>2.9057096532579263E-2</v>
      </c>
      <c r="P41" s="180">
        <f t="shared" ca="1" si="4"/>
        <v>2.9057096532579263E-2</v>
      </c>
      <c r="Q41" s="15" t="str">
        <f t="shared" si="5"/>
        <v/>
      </c>
      <c r="R41" s="176" t="str">
        <f>IF(シート①入力画面!BB105=" --","",IF(シート①入力画面!BB105="","",シート①入力画面!BB105))</f>
        <v/>
      </c>
      <c r="S41" s="571" t="str">
        <f t="array" ref="S41">IF(ROW(R41)-5&gt;(48-COUNTBLANK($R$6:$R$53)),"",INDEX($R$6:$R$53,SMALL(IF($R$6:$R$53&lt;&gt;"",ROW($R$6:$R$53)-5,""),ROW(R41)-5)))</f>
        <v/>
      </c>
      <c r="T41" s="571" t="str">
        <f>IF(シート①入力画面!$AW$45=1,IF(U41="","",VLOOKUP($U41,$K$6:$L$53,2,FALSE)),T41)</f>
        <v/>
      </c>
      <c r="U41" s="575" t="str">
        <f t="shared" si="7"/>
        <v/>
      </c>
      <c r="V41" s="173">
        <f t="shared" si="8"/>
        <v>36</v>
      </c>
      <c r="X41" s="177" t="str">
        <f>IF(シート①入力画面!BW105=" --","",IF(シート①入力画面!BW105="","",シート①入力画面!BW105))</f>
        <v/>
      </c>
      <c r="Y41" s="96"/>
      <c r="Z41" s="130"/>
      <c r="AA41" s="15"/>
      <c r="AT41" s="107" t="str">
        <f>$AP$23</f>
        <v/>
      </c>
      <c r="AU41" s="142" t="e">
        <f>AK23</f>
        <v>#NUM!</v>
      </c>
      <c r="AV41" s="142" t="str">
        <f>AF23</f>
        <v/>
      </c>
    </row>
    <row r="42" spans="1:48" x14ac:dyDescent="0.15">
      <c r="A42" s="128"/>
      <c r="C42" s="129">
        <v>37</v>
      </c>
      <c r="E42" s="414" t="str">
        <f t="shared" ca="1" si="6"/>
        <v>小林邦</v>
      </c>
      <c r="F42" s="180">
        <f ca="1">IF(H42="","",IF(シート①入力画面!$AW$45=1,P42,F42))</f>
        <v>0.41240510858525903</v>
      </c>
      <c r="G42" s="128">
        <f t="shared" ca="1" si="0"/>
        <v>0.69440046756657858</v>
      </c>
      <c r="H42" s="129" t="str">
        <f>シート①入力画面!BF107</f>
        <v>中川</v>
      </c>
      <c r="I42" s="571" t="str">
        <f>IF(シート①入力画面!$AZ$36=1,IF(ISNA(VLOOKUP(H42,$S$6:$T$53,2,FALSE)),H42,VLOOKUP(H42,$S$6:$T$53,2,FALSE)),I42)</f>
        <v>中川</v>
      </c>
      <c r="J42" s="128"/>
      <c r="K42" s="129" t="str">
        <f t="shared" si="1"/>
        <v/>
      </c>
      <c r="L42" s="129" t="str">
        <f t="shared" si="2"/>
        <v/>
      </c>
      <c r="N42" s="181">
        <f t="shared" ca="1" si="3"/>
        <v>0.41240510858525903</v>
      </c>
      <c r="O42" s="181">
        <f ca="1">IF(ISBLANK(R42),"",IF(シート①入力画面!$AW$45=1,P42,$O42))</f>
        <v>0.41240510858525903</v>
      </c>
      <c r="P42" s="180">
        <f t="shared" ca="1" si="4"/>
        <v>0.41240510858525903</v>
      </c>
      <c r="Q42" s="15" t="str">
        <f t="shared" si="5"/>
        <v/>
      </c>
      <c r="R42" s="176" t="str">
        <f>IF(シート①入力画面!BB106=" --","",IF(シート①入力画面!BB106="","",シート①入力画面!BB106))</f>
        <v/>
      </c>
      <c r="S42" s="571" t="str">
        <f t="array" ref="S42">IF(ROW(R42)-5&gt;(48-COUNTBLANK($R$6:$R$53)),"",INDEX($R$6:$R$53,SMALL(IF($R$6:$R$53&lt;&gt;"",ROW($R$6:$R$53)-5,""),ROW(R42)-5)))</f>
        <v/>
      </c>
      <c r="T42" s="571" t="str">
        <f>IF(シート①入力画面!$AW$45=1,IF(U42="","",VLOOKUP($U42,$K$6:$L$53,2,FALSE)),T42)</f>
        <v/>
      </c>
      <c r="U42" s="575" t="str">
        <f t="shared" si="7"/>
        <v/>
      </c>
      <c r="V42" s="173">
        <f t="shared" si="8"/>
        <v>37</v>
      </c>
      <c r="X42" s="177" t="str">
        <f>IF(シート①入力画面!BW106=" --","",IF(シート①入力画面!BW106="","",シート①入力画面!BW106))</f>
        <v/>
      </c>
      <c r="Y42" s="96"/>
      <c r="Z42" s="130"/>
      <c r="AA42" s="15"/>
      <c r="AT42" s="107" t="str">
        <f>$AQ$23</f>
        <v/>
      </c>
      <c r="AU42" s="142" t="e">
        <f>AL23</f>
        <v>#NUM!</v>
      </c>
      <c r="AV42" s="142" t="str">
        <f>AG23</f>
        <v/>
      </c>
    </row>
    <row r="43" spans="1:48" x14ac:dyDescent="0.15">
      <c r="A43" s="128"/>
      <c r="C43" s="129">
        <v>38</v>
      </c>
      <c r="E43" s="414" t="str">
        <f t="shared" ca="1" si="6"/>
        <v>小林修</v>
      </c>
      <c r="F43" s="180">
        <f ca="1">IF(H43="","",IF(シート①入力画面!$AW$45=1,P43,F43))</f>
        <v>2.2926169442179178E-2</v>
      </c>
      <c r="G43" s="128">
        <f t="shared" ca="1" si="0"/>
        <v>0.70622211830448767</v>
      </c>
      <c r="H43" s="129" t="str">
        <f>シート①入力画面!BF108</f>
        <v>中山</v>
      </c>
      <c r="I43" s="571" t="str">
        <f>IF(シート①入力画面!$AZ$36=1,IF(ISNA(VLOOKUP(H43,$S$6:$T$53,2,FALSE)),H43,VLOOKUP(H43,$S$6:$T$53,2,FALSE)),I43)</f>
        <v>中山</v>
      </c>
      <c r="J43" s="128"/>
      <c r="K43" s="129" t="str">
        <f t="shared" si="1"/>
        <v/>
      </c>
      <c r="L43" s="129" t="str">
        <f t="shared" si="2"/>
        <v/>
      </c>
      <c r="N43" s="181">
        <f t="shared" ca="1" si="3"/>
        <v>2.2926169442179178E-2</v>
      </c>
      <c r="O43" s="181">
        <f ca="1">IF(ISBLANK(R43),"",IF(シート①入力画面!$AW$45=1,P43,$O43))</f>
        <v>2.2926169442179178E-2</v>
      </c>
      <c r="P43" s="180">
        <f t="shared" ca="1" si="4"/>
        <v>2.2926169442179178E-2</v>
      </c>
      <c r="Q43" s="15" t="str">
        <f t="shared" si="5"/>
        <v/>
      </c>
      <c r="R43" s="176" t="str">
        <f>IF(シート①入力画面!BB107=" --","",IF(シート①入力画面!BB107="","",シート①入力画面!BB107))</f>
        <v/>
      </c>
      <c r="S43" s="571" t="str">
        <f t="array" ref="S43">IF(ROW(R43)-5&gt;(48-COUNTBLANK($R$6:$R$53)),"",INDEX($R$6:$R$53,SMALL(IF($R$6:$R$53&lt;&gt;"",ROW($R$6:$R$53)-5,""),ROW(R43)-5)))</f>
        <v/>
      </c>
      <c r="T43" s="571" t="str">
        <f>IF(シート①入力画面!$AW$45=1,IF(U43="","",VLOOKUP($U43,$K$6:$L$53,2,FALSE)),T43)</f>
        <v/>
      </c>
      <c r="U43" s="575" t="str">
        <f t="shared" si="7"/>
        <v/>
      </c>
      <c r="V43" s="173">
        <f>1+V42</f>
        <v>38</v>
      </c>
      <c r="X43" s="177" t="str">
        <f>IF(シート①入力画面!BW107=" --","",IF(シート①入力画面!BW107="","",シート①入力画面!BW107))</f>
        <v/>
      </c>
      <c r="Y43" s="96"/>
      <c r="Z43" s="130"/>
      <c r="AA43" s="15"/>
      <c r="AT43" s="107" t="str">
        <f>$AN$25</f>
        <v/>
      </c>
      <c r="AU43" s="142" t="e">
        <f>AI25</f>
        <v>#NUM!</v>
      </c>
      <c r="AV43" s="142" t="str">
        <f>AD25</f>
        <v/>
      </c>
    </row>
    <row r="44" spans="1:48" x14ac:dyDescent="0.15">
      <c r="A44" s="128"/>
      <c r="C44" s="129">
        <v>39</v>
      </c>
      <c r="E44" s="414" t="str">
        <f t="shared" ca="1" si="6"/>
        <v>鈴木</v>
      </c>
      <c r="F44" s="180">
        <f ca="1">IF(H44="","",IF(シート①入力画面!$AW$45=1,P44,F44))</f>
        <v>8.8726324408817669E-2</v>
      </c>
      <c r="G44" s="128">
        <f t="shared" ca="1" si="0"/>
        <v>0.71233725274845427</v>
      </c>
      <c r="H44" s="129" t="str">
        <f>シート①入力画面!BF109</f>
        <v>林</v>
      </c>
      <c r="I44" s="571" t="str">
        <f>IF(シート①入力画面!$AZ$36=1,IF(ISNA(VLOOKUP(H44,$S$6:$T$53,2,FALSE)),H44,VLOOKUP(H44,$S$6:$T$53,2,FALSE)),I44)</f>
        <v>林</v>
      </c>
      <c r="J44" s="128"/>
      <c r="K44" s="129" t="str">
        <f t="shared" si="1"/>
        <v/>
      </c>
      <c r="L44" s="129" t="str">
        <f t="shared" si="2"/>
        <v/>
      </c>
      <c r="N44" s="181">
        <f t="shared" ca="1" si="3"/>
        <v>8.8726324408817669E-2</v>
      </c>
      <c r="O44" s="181">
        <f ca="1">IF(ISBLANK(R44),"",IF(シート①入力画面!$AW$45=1,P44,$O44))</f>
        <v>8.8726324408817669E-2</v>
      </c>
      <c r="P44" s="180">
        <f t="shared" ca="1" si="4"/>
        <v>8.8726324408817669E-2</v>
      </c>
      <c r="Q44" s="15" t="str">
        <f t="shared" si="5"/>
        <v/>
      </c>
      <c r="R44" s="176" t="str">
        <f>IF(シート①入力画面!BB108=" --","",IF(シート①入力画面!BB108="","",シート①入力画面!BB108))</f>
        <v/>
      </c>
      <c r="S44" s="571" t="str">
        <f t="array" ref="S44">IF(ROW(R44)-5&gt;(48-COUNTBLANK($R$6:$R$53)),"",INDEX($R$6:$R$53,SMALL(IF($R$6:$R$53&lt;&gt;"",ROW($R$6:$R$53)-5,""),ROW(R44)-5)))</f>
        <v/>
      </c>
      <c r="T44" s="571" t="str">
        <f>IF(シート①入力画面!$AW$45=1,IF(U44="","",VLOOKUP($U44,$K$6:$L$53,2,FALSE)),T44)</f>
        <v/>
      </c>
      <c r="U44" s="575" t="str">
        <f t="shared" si="7"/>
        <v/>
      </c>
      <c r="V44" s="173">
        <f t="shared" si="8"/>
        <v>39</v>
      </c>
      <c r="X44" s="177" t="str">
        <f>IF(シート①入力画面!BW108=" --","",IF(シート①入力画面!BW108="","",シート①入力画面!BW108))</f>
        <v/>
      </c>
      <c r="Y44" s="96"/>
      <c r="Z44" s="130"/>
      <c r="AA44" s="15"/>
      <c r="AT44" s="107" t="str">
        <f>$AO$25</f>
        <v/>
      </c>
      <c r="AU44" s="142" t="e">
        <f>AJ25</f>
        <v>#NUM!</v>
      </c>
      <c r="AV44" s="142" t="str">
        <f>AE25</f>
        <v/>
      </c>
    </row>
    <row r="45" spans="1:48" x14ac:dyDescent="0.15">
      <c r="A45" s="128"/>
      <c r="C45" s="129">
        <v>40</v>
      </c>
      <c r="E45" s="414" t="str">
        <f t="shared" ca="1" si="6"/>
        <v>宮田</v>
      </c>
      <c r="F45" s="180">
        <f ca="1">IF(H45="","",IF(シート①入力画面!$AW$45=1,P45,F45))</f>
        <v>8.8612102501538725E-2</v>
      </c>
      <c r="G45" s="128">
        <f t="shared" ca="1" si="0"/>
        <v>0.71932311956680228</v>
      </c>
      <c r="H45" s="129" t="str">
        <f>シート①入力画面!BF110</f>
        <v>福山</v>
      </c>
      <c r="I45" s="571" t="str">
        <f>IF(シート①入力画面!$AZ$36=1,IF(ISNA(VLOOKUP(H45,$S$6:$T$53,2,FALSE)),H45,VLOOKUP(H45,$S$6:$T$53,2,FALSE)),I45)</f>
        <v>福山</v>
      </c>
      <c r="J45" s="128"/>
      <c r="K45" s="129" t="str">
        <f t="shared" si="1"/>
        <v/>
      </c>
      <c r="L45" s="129" t="str">
        <f t="shared" si="2"/>
        <v/>
      </c>
      <c r="N45" s="181">
        <f t="shared" ca="1" si="3"/>
        <v>8.8612102501538725E-2</v>
      </c>
      <c r="O45" s="181">
        <f ca="1">IF(ISBLANK(R45),"",IF(シート①入力画面!$AW$45=1,P45,$O45))</f>
        <v>8.8612102501538725E-2</v>
      </c>
      <c r="P45" s="180">
        <f t="shared" ca="1" si="4"/>
        <v>8.8612102501538725E-2</v>
      </c>
      <c r="Q45" s="15" t="str">
        <f t="shared" si="5"/>
        <v/>
      </c>
      <c r="R45" s="176" t="str">
        <f>IF(シート①入力画面!BB109=" --","",IF(シート①入力画面!BB109="","",シート①入力画面!BB109))</f>
        <v/>
      </c>
      <c r="S45" s="571" t="str">
        <f t="array" ref="S45">IF(ROW(R45)-5&gt;(48-COUNTBLANK($R$6:$R$53)),"",INDEX($R$6:$R$53,SMALL(IF($R$6:$R$53&lt;&gt;"",ROW($R$6:$R$53)-5,""),ROW(R45)-5)))</f>
        <v/>
      </c>
      <c r="T45" s="571" t="str">
        <f>IF(シート①入力画面!$AW$45=1,IF(U45="","",VLOOKUP($U45,$K$6:$L$53,2,FALSE)),T45)</f>
        <v/>
      </c>
      <c r="U45" s="575" t="str">
        <f t="shared" si="7"/>
        <v/>
      </c>
      <c r="V45" s="174">
        <f t="shared" si="8"/>
        <v>40</v>
      </c>
      <c r="X45" s="177" t="str">
        <f>IF(シート①入力画面!BW109=" --","",IF(シート①入力画面!BW109="","",シート①入力画面!BW109))</f>
        <v/>
      </c>
      <c r="Y45" s="96"/>
      <c r="Z45" s="130"/>
      <c r="AA45" s="15"/>
      <c r="AT45" s="107" t="str">
        <f>$AP$25</f>
        <v/>
      </c>
      <c r="AU45" s="142" t="e">
        <f>AK25</f>
        <v>#NUM!</v>
      </c>
      <c r="AV45" s="142" t="str">
        <f>AF25</f>
        <v/>
      </c>
    </row>
    <row r="46" spans="1:48" x14ac:dyDescent="0.15">
      <c r="C46" s="129">
        <v>41</v>
      </c>
      <c r="E46" s="414" t="str">
        <f t="shared" ca="1" si="6"/>
        <v>安藤</v>
      </c>
      <c r="F46" s="180">
        <f ca="1">IF(H46="","",IF(シート①入力画面!$AW$45=1,P46,F46))</f>
        <v>0.96984781467765557</v>
      </c>
      <c r="G46" s="128">
        <f t="shared" ca="1" si="0"/>
        <v>0.72578806473143498</v>
      </c>
      <c r="H46" s="129" t="str">
        <f>シート①入力画面!BF111</f>
        <v>藤田</v>
      </c>
      <c r="I46" s="571" t="str">
        <f>IF(シート①入力画面!$AZ$36=1,IF(ISNA(VLOOKUP(H46,$S$6:$T$53,2,FALSE)),H46,VLOOKUP(H46,$S$6:$T$53,2,FALSE)),I46)</f>
        <v>藤田</v>
      </c>
      <c r="J46" s="128"/>
      <c r="K46" s="571" t="str">
        <f t="shared" si="1"/>
        <v/>
      </c>
      <c r="L46" s="571" t="str">
        <f t="shared" si="2"/>
        <v/>
      </c>
      <c r="M46" t="str">
        <f>IF(ISNA(VLOOKUP($Q46,$Y$6:$AA$60,4,FALSE)),"",VLOOKUP($Q46,$Y$6:$AA$60,4,FALSE))</f>
        <v/>
      </c>
      <c r="N46" s="573">
        <f t="shared" ca="1" si="3"/>
        <v>0.96984781467765557</v>
      </c>
      <c r="O46" s="573">
        <f ca="1">IF(ISBLANK(R46),"",IF(シート①入力画面!$AW$45=1,P46,$O46))</f>
        <v>0.96984781467765557</v>
      </c>
      <c r="P46" s="180">
        <f t="shared" ca="1" si="4"/>
        <v>0.96984781467765557</v>
      </c>
      <c r="Q46" s="175" t="str">
        <f>IF(シート①入力画面!AZ110="","",シート①入力画面!AZ110)</f>
        <v xml:space="preserve"> --</v>
      </c>
      <c r="R46" s="571" t="str">
        <f>IF(シート①入力画面!BB110=" --","",IF(シート①入力画面!BB110="","",シート①入力画面!BB110))</f>
        <v/>
      </c>
      <c r="S46" s="571" t="str">
        <f t="array" ref="S46">IF(ROW(R46)-5&gt;(48-COUNTBLANK($R$6:$R$53)),"",INDEX($R$6:$R$53,SMALL(IF($R$6:$R$53&lt;&gt;"",ROW($R$6:$R$53)-5,""),ROW(R46)-5)))</f>
        <v/>
      </c>
      <c r="T46" s="571" t="str">
        <f>IF(シート①入力画面!$AW$45=1,IF(U46="","",VLOOKUP($U46,$K$6:$L$53,2,FALSE)),T46)</f>
        <v/>
      </c>
      <c r="U46" s="575" t="str">
        <f t="shared" si="7"/>
        <v/>
      </c>
      <c r="V46" s="174">
        <f t="shared" si="8"/>
        <v>41</v>
      </c>
      <c r="X46" s="568" t="str">
        <f>IF(シート①入力画面!BW110=" --","",IF(シート①入力画面!BW110="","",シート①入力画面!BW110))</f>
        <v/>
      </c>
      <c r="Y46" s="96"/>
      <c r="Z46" s="130"/>
      <c r="AA46" s="15"/>
      <c r="AT46" s="107" t="str">
        <f>$AQ$25</f>
        <v/>
      </c>
      <c r="AU46" s="142" t="e">
        <f>AL25</f>
        <v>#NUM!</v>
      </c>
      <c r="AV46" s="142" t="str">
        <f>AG25</f>
        <v/>
      </c>
    </row>
    <row r="47" spans="1:48" x14ac:dyDescent="0.15">
      <c r="C47" s="129">
        <v>42</v>
      </c>
      <c r="E47" s="414" t="str">
        <f t="shared" ca="1" si="6"/>
        <v>松岡</v>
      </c>
      <c r="F47" s="180">
        <f ca="1">IF(H47="","",IF(シート①入力画面!$AW$45=1,P47,F47))</f>
        <v>9.3441648715389958E-2</v>
      </c>
      <c r="G47" s="128">
        <f t="shared" ca="1" si="0"/>
        <v>0.74047737645736067</v>
      </c>
      <c r="H47" s="129" t="str">
        <f>シート①入力画面!BF112</f>
        <v>古海</v>
      </c>
      <c r="I47" s="571" t="str">
        <f>IF(シート①入力画面!$AZ$36=1,IF(ISNA(VLOOKUP(H47,$S$6:$T$53,2,FALSE)),H47,VLOOKUP(H47,$S$6:$T$53,2,FALSE)),I47)</f>
        <v>古海</v>
      </c>
      <c r="J47" s="128"/>
      <c r="K47" s="571" t="str">
        <f t="shared" si="1"/>
        <v/>
      </c>
      <c r="L47" s="571" t="str">
        <f t="shared" si="2"/>
        <v/>
      </c>
      <c r="M47" t="str">
        <f>IF(ISNA(VLOOKUP($Q47,$Y$6:$AA$60,4,FALSE)),"",VLOOKUP($Q47,$Y$6:$AA$60,4,FALSE))</f>
        <v/>
      </c>
      <c r="N47" s="573">
        <f t="shared" ca="1" si="3"/>
        <v>9.3441648715389958E-2</v>
      </c>
      <c r="O47" s="573">
        <f ca="1">IF(ISBLANK(R47),"",IF(シート①入力画面!$AW$45=1,P47,$O47))</f>
        <v>9.3441648715389958E-2</v>
      </c>
      <c r="P47" s="180">
        <f t="shared" ca="1" si="4"/>
        <v>9.3441648715389958E-2</v>
      </c>
      <c r="Q47" s="187"/>
      <c r="R47" s="571" t="str">
        <f>IF(シート①入力画面!BB111=" --","",IF(シート①入力画面!BB111="","",シート①入力画面!BB111))</f>
        <v/>
      </c>
      <c r="S47" s="571" t="str">
        <f t="array" ref="S47">IF(ROW(R47)-5&gt;(48-COUNTBLANK($R$6:$R$53)),"",INDEX($R$6:$R$53,SMALL(IF($R$6:$R$53&lt;&gt;"",ROW($R$6:$R$53)-5,""),ROW(R47)-5)))</f>
        <v/>
      </c>
      <c r="T47" s="571" t="str">
        <f>IF(シート①入力画面!$AW$45=1,IF(U47="","",VLOOKUP($U47,$K$6:$L$53,2,FALSE)),T47)</f>
        <v/>
      </c>
      <c r="U47" s="575" t="str">
        <f t="shared" si="7"/>
        <v/>
      </c>
      <c r="V47" s="174">
        <f t="shared" si="8"/>
        <v>42</v>
      </c>
      <c r="X47" s="568" t="str">
        <f>IF(シート①入力画面!BW111=" --","",IF(シート①入力画面!BW111="","",シート①入力画面!BW111))</f>
        <v/>
      </c>
      <c r="Y47" s="96"/>
      <c r="Z47" s="130"/>
      <c r="AA47" s="15"/>
      <c r="AT47" s="571" t="str">
        <f>$AN$27</f>
        <v/>
      </c>
      <c r="AU47" s="142" t="e">
        <f>AI27</f>
        <v>#NUM!</v>
      </c>
      <c r="AV47" s="142" t="str">
        <f>AD27</f>
        <v/>
      </c>
    </row>
    <row r="48" spans="1:48" x14ac:dyDescent="0.15">
      <c r="C48" s="129">
        <v>43</v>
      </c>
      <c r="E48" s="414" t="str">
        <f t="shared" ca="1" si="6"/>
        <v>飯田</v>
      </c>
      <c r="F48" s="180">
        <f ca="1">IF(H48="","",IF(シート①入力画面!$AW$45=1,P48,F48))</f>
        <v>0.74047737645736067</v>
      </c>
      <c r="G48" s="128">
        <f t="shared" ca="1" si="0"/>
        <v>0.77425780288979384</v>
      </c>
      <c r="H48" s="129" t="str">
        <f>シート①入力画面!BF113</f>
        <v>松岡</v>
      </c>
      <c r="I48" s="571" t="str">
        <f>IF(シート①入力画面!$AZ$36=1,IF(ISNA(VLOOKUP(H48,$S$6:$T$53,2,FALSE)),H48,VLOOKUP(H48,$S$6:$T$53,2,FALSE)),I48)</f>
        <v>松岡</v>
      </c>
      <c r="J48" s="128"/>
      <c r="K48" s="571" t="str">
        <f t="shared" si="1"/>
        <v/>
      </c>
      <c r="L48" s="571" t="str">
        <f t="shared" si="2"/>
        <v/>
      </c>
      <c r="N48" s="573">
        <f t="shared" ca="1" si="3"/>
        <v>0.74047737645736067</v>
      </c>
      <c r="O48" s="573">
        <f ca="1">IF(ISBLANK(R48),"",IF(シート①入力画面!$AW$45=1,P48,$O48))</f>
        <v>0.74047737645736067</v>
      </c>
      <c r="P48" s="180">
        <f t="shared" ca="1" si="4"/>
        <v>0.74047737645736067</v>
      </c>
      <c r="R48" s="571" t="str">
        <f>IF(シート①入力画面!BB112=" --","",IF(シート①入力画面!BB112="","",シート①入力画面!BB112))</f>
        <v/>
      </c>
      <c r="S48" s="571" t="str">
        <f t="array" ref="S48">IF(ROW(R48)-5&gt;(48-COUNTBLANK($R$6:$R$53)),"",INDEX($R$6:$R$53,SMALL(IF($R$6:$R$53&lt;&gt;"",ROW($R$6:$R$53)-5,""),ROW(R48)-5)))</f>
        <v/>
      </c>
      <c r="T48" s="571" t="str">
        <f>IF(シート①入力画面!$AW$45=1,IF(U48="","",VLOOKUP($U48,$K$6:$L$53,2,FALSE)),T48)</f>
        <v/>
      </c>
      <c r="U48" s="575" t="str">
        <f t="shared" si="7"/>
        <v/>
      </c>
      <c r="V48" s="174">
        <f t="shared" si="8"/>
        <v>43</v>
      </c>
      <c r="X48" s="568" t="str">
        <f>IF(シート①入力画面!BW112=" --","",IF(シート①入力画面!BW112="","",シート①入力画面!BW112))</f>
        <v/>
      </c>
      <c r="Y48" s="96"/>
      <c r="Z48" s="130"/>
      <c r="AA48" s="15"/>
      <c r="AT48" s="571" t="str">
        <f>$AO$27</f>
        <v/>
      </c>
      <c r="AU48" s="142" t="e">
        <f>AJ27</f>
        <v>#NUM!</v>
      </c>
      <c r="AV48" s="142" t="str">
        <f>AE27</f>
        <v/>
      </c>
    </row>
    <row r="49" spans="2:48" x14ac:dyDescent="0.15">
      <c r="C49" s="129">
        <v>44</v>
      </c>
      <c r="E49" s="414" t="str">
        <f t="shared" ca="1" si="6"/>
        <v>勝田</v>
      </c>
      <c r="F49" s="180">
        <f ca="1">IF(H49="","",IF(シート①入力画面!$AW$45=1,P49,F49))</f>
        <v>0.34866862529477627</v>
      </c>
      <c r="G49" s="128">
        <f t="shared" ca="1" si="0"/>
        <v>0.78480648031622868</v>
      </c>
      <c r="H49" s="129" t="str">
        <f>シート①入力画面!BF114</f>
        <v>豆田</v>
      </c>
      <c r="I49" s="571" t="str">
        <f>IF(シート①入力画面!$AZ$36=1,IF(ISNA(VLOOKUP(H49,$S$6:$T$53,2,FALSE)),H49,VLOOKUP(H49,$S$6:$T$53,2,FALSE)),I49)</f>
        <v>豆田</v>
      </c>
      <c r="J49" s="128"/>
      <c r="K49" s="571" t="str">
        <f t="shared" si="1"/>
        <v/>
      </c>
      <c r="L49" s="571" t="str">
        <f t="shared" si="2"/>
        <v/>
      </c>
      <c r="N49" s="573">
        <f t="shared" ca="1" si="3"/>
        <v>0.34866862529477627</v>
      </c>
      <c r="O49" s="573">
        <f ca="1">IF(ISBLANK(R49),"",IF(シート①入力画面!$AW$45=1,P49,$O49))</f>
        <v>0.34866862529477627</v>
      </c>
      <c r="P49" s="180">
        <f t="shared" ca="1" si="4"/>
        <v>0.34866862529477627</v>
      </c>
      <c r="R49" s="571" t="str">
        <f>IF(シート①入力画面!BB113=" --","",IF(シート①入力画面!BB113="","",シート①入力画面!BB113))</f>
        <v/>
      </c>
      <c r="S49" s="571" t="str">
        <f t="array" ref="S49">IF(ROW(R49)-5&gt;(48-COUNTBLANK($R$6:$R$53)),"",INDEX($R$6:$R$53,SMALL(IF($R$6:$R$53&lt;&gt;"",ROW($R$6:$R$53)-5,""),ROW(R49)-5)))</f>
        <v/>
      </c>
      <c r="T49" s="571" t="str">
        <f>IF(シート①入力画面!$AW$45=1,IF(U49="","",VLOOKUP($U49,$K$6:$L$53,2,FALSE)),T49)</f>
        <v/>
      </c>
      <c r="U49" s="575" t="str">
        <f t="shared" si="7"/>
        <v/>
      </c>
      <c r="V49" s="174">
        <f t="shared" si="8"/>
        <v>44</v>
      </c>
      <c r="X49" s="568" t="str">
        <f>IF(シート①入力画面!BW113=" --","",IF(シート①入力画面!BW113="","",シート①入力画面!BW113))</f>
        <v/>
      </c>
      <c r="Y49" s="96"/>
      <c r="Z49" s="130"/>
      <c r="AA49" s="15"/>
      <c r="AP49" s="107"/>
      <c r="AT49" s="571" t="str">
        <f>$AP$27</f>
        <v/>
      </c>
      <c r="AU49" s="142" t="e">
        <f>AK27</f>
        <v>#NUM!</v>
      </c>
      <c r="AV49" s="142" t="str">
        <f>AF27</f>
        <v/>
      </c>
    </row>
    <row r="50" spans="2:48" x14ac:dyDescent="0.15">
      <c r="C50" s="129">
        <v>45</v>
      </c>
      <c r="E50" s="414" t="str">
        <f t="shared" ca="1" si="6"/>
        <v>坂本</v>
      </c>
      <c r="F50" s="180">
        <f ca="1">IF(H50="","",IF(シート①入力画面!$AW$45=1,P50,F50))</f>
        <v>0.15563900455053647</v>
      </c>
      <c r="G50" s="128">
        <f t="shared" ca="1" si="0"/>
        <v>0.82179218041170476</v>
      </c>
      <c r="H50" s="129" t="str">
        <f>シート①入力画面!BF115</f>
        <v>三井</v>
      </c>
      <c r="I50" s="571" t="str">
        <f>IF(シート①入力画面!$AZ$36=1,IF(ISNA(VLOOKUP(H50,$S$6:$T$53,2,FALSE)),H50,VLOOKUP(H50,$S$6:$T$53,2,FALSE)),I50)</f>
        <v>三井</v>
      </c>
      <c r="J50" s="128"/>
      <c r="K50" s="571" t="str">
        <f t="shared" si="1"/>
        <v/>
      </c>
      <c r="L50" s="571" t="str">
        <f t="shared" si="2"/>
        <v/>
      </c>
      <c r="N50" s="573">
        <f t="shared" ca="1" si="3"/>
        <v>0.15563900455053647</v>
      </c>
      <c r="O50" s="573">
        <f ca="1">IF(ISBLANK(R50),"",IF(シート①入力画面!$AW$45=1,P50,$O50))</f>
        <v>0.15563900455053647</v>
      </c>
      <c r="P50" s="180">
        <f t="shared" ca="1" si="4"/>
        <v>0.15563900455053647</v>
      </c>
      <c r="R50" s="571" t="str">
        <f>IF(シート①入力画面!BB114=" --","",IF(シート①入力画面!BB114="","",シート①入力画面!BB114))</f>
        <v/>
      </c>
      <c r="S50" s="571" t="str">
        <f t="array" ref="S50">IF(ROW(R50)-5&gt;(48-COUNTBLANK($R$6:$R$53)),"",INDEX($R$6:$R$53,SMALL(IF($R$6:$R$53&lt;&gt;"",ROW($R$6:$R$53)-5,""),ROW(R50)-5)))</f>
        <v/>
      </c>
      <c r="T50" s="571" t="str">
        <f>IF(シート①入力画面!$AW$45=1,IF(U50="","",VLOOKUP($U50,$K$6:$L$53,2,FALSE)),T50)</f>
        <v/>
      </c>
      <c r="U50" s="575" t="str">
        <f t="shared" si="7"/>
        <v/>
      </c>
      <c r="V50" s="174">
        <f t="shared" si="8"/>
        <v>45</v>
      </c>
      <c r="X50" s="568" t="str">
        <f>IF(シート①入力画面!BW114=" --","",IF(シート①入力画面!BW114="","",シート①入力画面!BW114))</f>
        <v/>
      </c>
      <c r="Y50" s="96"/>
      <c r="Z50" s="130"/>
      <c r="AA50" s="15"/>
      <c r="AT50" s="571" t="str">
        <f>$AQ$27</f>
        <v/>
      </c>
      <c r="AU50" s="142" t="e">
        <f>AL27</f>
        <v>#NUM!</v>
      </c>
      <c r="AV50" s="142" t="str">
        <f>AG27</f>
        <v/>
      </c>
    </row>
    <row r="51" spans="2:48" x14ac:dyDescent="0.15">
      <c r="C51" s="129">
        <v>46</v>
      </c>
      <c r="E51" s="414" t="str">
        <f t="shared" ca="1" si="6"/>
        <v>湯浅</v>
      </c>
      <c r="F51" s="180">
        <f ca="1">IF(H51="","",IF(シート①入力画面!$AW$45=1,P51,F51))</f>
        <v>0.66121463722950402</v>
      </c>
      <c r="G51" s="128">
        <f t="shared" ca="1" si="0"/>
        <v>0.85270412403509011</v>
      </c>
      <c r="H51" s="129" t="str">
        <f>シート①入力画面!BF116</f>
        <v>南村</v>
      </c>
      <c r="I51" s="571" t="str">
        <f>IF(シート①入力画面!$AZ$36=1,IF(ISNA(VLOOKUP(H51,$S$6:$T$53,2,FALSE)),H51,VLOOKUP(H51,$S$6:$T$53,2,FALSE)),I51)</f>
        <v>南村</v>
      </c>
      <c r="J51" s="128"/>
      <c r="K51" s="571" t="str">
        <f t="shared" si="1"/>
        <v/>
      </c>
      <c r="L51" s="571" t="str">
        <f t="shared" si="2"/>
        <v/>
      </c>
      <c r="N51" s="573">
        <f t="shared" ca="1" si="3"/>
        <v>0.66121463722950402</v>
      </c>
      <c r="O51" s="573">
        <f ca="1">IF(ISBLANK(R51),"",IF(シート①入力画面!$AW$45=1,P51,$O51))</f>
        <v>0.66121463722950402</v>
      </c>
      <c r="P51" s="180">
        <f t="shared" ca="1" si="4"/>
        <v>0.66121463722950402</v>
      </c>
      <c r="R51" s="571" t="str">
        <f>IF(シート①入力画面!BB115=" --","",IF(シート①入力画面!BB115="","",シート①入力画面!BB115))</f>
        <v/>
      </c>
      <c r="S51" s="571" t="str">
        <f t="array" ref="S51">IF(ROW(R51)-5&gt;(48-COUNTBLANK($R$6:$R$53)),"",INDEX($R$6:$R$53,SMALL(IF($R$6:$R$53&lt;&gt;"",ROW($R$6:$R$53)-5,""),ROW(R51)-5)))</f>
        <v/>
      </c>
      <c r="T51" s="571" t="str">
        <f>IF(シート①入力画面!$AW$45=1,IF(U51="","",VLOOKUP($U51,$K$6:$L$53,2,FALSE)),T51)</f>
        <v/>
      </c>
      <c r="U51" s="575" t="str">
        <f t="shared" si="7"/>
        <v/>
      </c>
      <c r="V51" s="174">
        <f t="shared" si="8"/>
        <v>46</v>
      </c>
      <c r="X51" s="568" t="str">
        <f>IF(シート①入力画面!BW115=" --","",IF(シート①入力画面!BW115="","",シート①入力画面!BW115))</f>
        <v/>
      </c>
      <c r="Y51" s="96"/>
      <c r="Z51" s="130"/>
      <c r="AA51" s="15"/>
      <c r="AT51" s="571" t="str">
        <f>$AN$29</f>
        <v/>
      </c>
      <c r="AU51" s="142" t="e">
        <f>AI29</f>
        <v>#NUM!</v>
      </c>
      <c r="AV51" s="142" t="str">
        <f>AD29</f>
        <v/>
      </c>
    </row>
    <row r="52" spans="2:48" x14ac:dyDescent="0.15">
      <c r="C52" s="129">
        <v>47</v>
      </c>
      <c r="E52" s="414" t="str">
        <f t="shared" ca="1" si="6"/>
        <v>大橋</v>
      </c>
      <c r="F52" s="180">
        <f ca="1">IF(H52="","",IF(シート①入力画面!$AW$45=1,P52,F52))</f>
        <v>0.71932311956680228</v>
      </c>
      <c r="G52" s="128">
        <f t="shared" ca="1" si="0"/>
        <v>0.85972247849768257</v>
      </c>
      <c r="H52" s="129" t="str">
        <f>シート①入力画面!BF117</f>
        <v>宮田</v>
      </c>
      <c r="I52" s="571" t="str">
        <f>IF(シート①入力画面!$AZ$36=1,IF(ISNA(VLOOKUP(H52,$S$6:$T$53,2,FALSE)),H52,VLOOKUP(H52,$S$6:$T$53,2,FALSE)),I52)</f>
        <v>宮田</v>
      </c>
      <c r="J52" s="128"/>
      <c r="K52" s="571" t="str">
        <f t="shared" si="1"/>
        <v/>
      </c>
      <c r="L52" s="571" t="str">
        <f t="shared" si="2"/>
        <v/>
      </c>
      <c r="N52" s="573">
        <f t="shared" ca="1" si="3"/>
        <v>0.71932311956680228</v>
      </c>
      <c r="O52" s="573">
        <f ca="1">IF(ISBLANK(R52),"",IF(シート①入力画面!$AW$45=1,P52,$O52))</f>
        <v>0.71932311956680228</v>
      </c>
      <c r="P52" s="180">
        <f t="shared" ca="1" si="4"/>
        <v>0.71932311956680228</v>
      </c>
      <c r="R52" s="571" t="str">
        <f>IF(シート①入力画面!BB116=" --","",IF(シート①入力画面!BB116="","",シート①入力画面!BB116))</f>
        <v/>
      </c>
      <c r="S52" s="571" t="str">
        <f t="array" ref="S52">IF(ROW(R52)-5&gt;(48-COUNTBLANK($R$6:$R$53)),"",INDEX($R$6:$R$53,SMALL(IF($R$6:$R$53&lt;&gt;"",ROW($R$6:$R$53)-5,""),ROW(R52)-5)))</f>
        <v/>
      </c>
      <c r="T52" s="571" t="str">
        <f>IF(シート①入力画面!$AW$45=1,IF(U52="","",VLOOKUP($U52,$K$6:$L$53,2,FALSE)),T52)</f>
        <v/>
      </c>
      <c r="U52" s="575" t="str">
        <f t="shared" si="7"/>
        <v/>
      </c>
      <c r="V52" s="174">
        <f t="shared" si="8"/>
        <v>47</v>
      </c>
      <c r="X52" s="568" t="str">
        <f>IF(シート①入力画面!BW116=" --","",IF(シート①入力画面!BW116="","",シート①入力画面!BW116))</f>
        <v/>
      </c>
      <c r="Y52" s="96"/>
      <c r="Z52" s="130"/>
      <c r="AA52" s="15"/>
      <c r="AT52" s="571" t="str">
        <f>$AO$29</f>
        <v/>
      </c>
      <c r="AU52" s="142" t="e">
        <f>AJ29</f>
        <v>#NUM!</v>
      </c>
      <c r="AV52" s="142" t="str">
        <f>AE29</f>
        <v/>
      </c>
    </row>
    <row r="53" spans="2:48" x14ac:dyDescent="0.15">
      <c r="C53" s="129">
        <v>48</v>
      </c>
      <c r="E53" s="414" t="str">
        <f t="shared" ca="1" si="6"/>
        <v>小野山</v>
      </c>
      <c r="F53" s="180">
        <f ca="1">IF(H53="","",IF(シート①入力画面!$AW$45=1,P53,F53))</f>
        <v>0.48936010559007237</v>
      </c>
      <c r="G53" s="128">
        <f t="shared" ca="1" si="0"/>
        <v>0.86401558605402862</v>
      </c>
      <c r="H53" s="129" t="str">
        <f>シート①入力画面!BF118</f>
        <v>村上</v>
      </c>
      <c r="I53" s="571" t="str">
        <f>IF(シート①入力画面!$AZ$36=1,IF(ISNA(VLOOKUP(H53,$S$6:$T$53,2,FALSE)),H53,VLOOKUP(H53,$S$6:$T$53,2,FALSE)),I53)</f>
        <v>村上</v>
      </c>
      <c r="J53" s="128"/>
      <c r="K53" s="571" t="str">
        <f t="shared" si="1"/>
        <v/>
      </c>
      <c r="L53" s="571" t="str">
        <f t="shared" si="2"/>
        <v/>
      </c>
      <c r="N53" s="573">
        <f t="shared" ca="1" si="3"/>
        <v>0.48936010559007237</v>
      </c>
      <c r="O53" s="573">
        <f ca="1">IF(ISBLANK(R53),"",IF(シート①入力画面!$AW$45=1,P53,$O53))</f>
        <v>0.48936010559007237</v>
      </c>
      <c r="P53" s="180">
        <f t="shared" ca="1" si="4"/>
        <v>0.48936010559007237</v>
      </c>
      <c r="R53" s="571" t="str">
        <f>IF(シート①入力画面!BB117=" --","",IF(シート①入力画面!BB117="","",シート①入力画面!BB117))</f>
        <v/>
      </c>
      <c r="S53" s="571" t="str">
        <f t="array" ref="S53">IF(ROW(R53)-5&gt;(48-COUNTBLANK($R$6:$R$53)),"",INDEX($R$6:$R$53,SMALL(IF($R$6:$R$53&lt;&gt;"",ROW($R$6:$R$53)-5,""),ROW(R53)-5)))</f>
        <v/>
      </c>
      <c r="T53" s="571" t="str">
        <f>IF(シート①入力画面!$AW$45=1,IF(U53="","",VLOOKUP($U53,$K$6:$L$53,2,FALSE)),T53)</f>
        <v/>
      </c>
      <c r="U53" s="575" t="str">
        <f t="shared" si="7"/>
        <v/>
      </c>
      <c r="V53" s="174">
        <f t="shared" si="8"/>
        <v>48</v>
      </c>
      <c r="X53" s="568" t="str">
        <f>IF(シート①入力画面!BW117=" --","",IF(シート①入力画面!BW117="","",シート①入力画面!BW117))</f>
        <v/>
      </c>
      <c r="Y53" s="96"/>
      <c r="Z53" s="130"/>
      <c r="AA53" s="15"/>
      <c r="AT53" s="571" t="str">
        <f>$AP$29</f>
        <v/>
      </c>
      <c r="AU53" s="142" t="e">
        <f>AK29</f>
        <v>#NUM!</v>
      </c>
      <c r="AV53" s="142" t="str">
        <f>AF29</f>
        <v/>
      </c>
    </row>
    <row r="54" spans="2:48" x14ac:dyDescent="0.15">
      <c r="C54" s="129">
        <v>49</v>
      </c>
      <c r="E54" s="414" t="str">
        <f t="shared" ca="1" si="6"/>
        <v>次橋</v>
      </c>
      <c r="F54" s="180">
        <f ca="1">IF(H54="","",IF(シート①入力画面!$AW$45=1,P54,F54))</f>
        <v>0.65231751413233452</v>
      </c>
      <c r="G54" s="128">
        <f t="shared" ca="1" si="0"/>
        <v>0.86978825493375056</v>
      </c>
      <c r="H54" s="129" t="str">
        <f>シート①入力画面!BF119</f>
        <v>森</v>
      </c>
      <c r="I54" s="571" t="str">
        <f>IF(シート①入力画面!$AZ$36=1,IF(ISNA(VLOOKUP(H54,$S$6:$T$53,2,FALSE)),H54,VLOOKUP(H54,$S$6:$T$53,2,FALSE)),I54)</f>
        <v>森</v>
      </c>
      <c r="J54" s="128"/>
      <c r="M54" s="187"/>
      <c r="O54" s="15"/>
      <c r="P54" s="180">
        <f t="shared" ca="1" si="4"/>
        <v>0.65231751413233452</v>
      </c>
      <c r="S54" s="146" t="s">
        <v>364</v>
      </c>
      <c r="T54" s="187"/>
      <c r="V54" s="23"/>
      <c r="X54" s="23"/>
      <c r="Y54" s="96"/>
      <c r="Z54" s="130"/>
      <c r="AA54" s="15"/>
      <c r="AT54" s="571" t="str">
        <f>$AQ$29</f>
        <v/>
      </c>
      <c r="AU54" s="142" t="e">
        <f>AL29</f>
        <v>#NUM!</v>
      </c>
      <c r="AV54" s="142" t="str">
        <f>AG29</f>
        <v/>
      </c>
    </row>
    <row r="55" spans="2:48" x14ac:dyDescent="0.15">
      <c r="C55" s="129">
        <v>50</v>
      </c>
      <c r="E55" s="414" t="str">
        <f t="shared" ca="1" si="6"/>
        <v>笠原</v>
      </c>
      <c r="F55" s="180">
        <f ca="1">IF(H55="","",IF(シート①入力画面!$AW$45=1,P55,F55))</f>
        <v>0.63434742496840324</v>
      </c>
      <c r="G55" s="128">
        <f t="shared" ca="1" si="0"/>
        <v>0.89083082668278524</v>
      </c>
      <c r="H55" s="129" t="str">
        <f>シート①入力画面!BF120</f>
        <v>山中</v>
      </c>
      <c r="I55" s="571" t="str">
        <f>IF(シート①入力画面!$AZ$36=1,IF(ISNA(VLOOKUP(H55,$S$6:$T$53,2,FALSE)),H55,VLOOKUP(H55,$S$6:$T$53,2,FALSE)),I55)</f>
        <v>山中</v>
      </c>
      <c r="J55" s="128"/>
      <c r="M55" s="187"/>
      <c r="O55" s="15"/>
      <c r="P55" s="180">
        <f t="shared" ca="1" si="4"/>
        <v>0.63434742496840324</v>
      </c>
      <c r="S55" s="146" t="s">
        <v>365</v>
      </c>
      <c r="V55" s="23"/>
      <c r="X55" s="23"/>
      <c r="Y55" s="96"/>
      <c r="Z55" s="130"/>
      <c r="AA55" s="15"/>
    </row>
    <row r="56" spans="2:48" ht="21" x14ac:dyDescent="0.15">
      <c r="C56" s="129">
        <v>51</v>
      </c>
      <c r="E56" s="414" t="str">
        <f t="shared" ca="1" si="6"/>
        <v>渡辺昭</v>
      </c>
      <c r="F56" s="180">
        <f ca="1">IF(H56="","",IF(シート①入力画面!$AW$45=1,P56,F56))</f>
        <v>0.85270412403509011</v>
      </c>
      <c r="G56" s="128">
        <f t="shared" ca="1" si="0"/>
        <v>0.89278464338008723</v>
      </c>
      <c r="H56" s="129" t="str">
        <f>シート①入力画面!BF121</f>
        <v>湯浅</v>
      </c>
      <c r="I56" s="571" t="str">
        <f>IF(シート①入力画面!$AZ$36=1,IF(ISNA(VLOOKUP(H56,$S$6:$T$53,2,FALSE)),H56,VLOOKUP(H56,$S$6:$T$53,2,FALSE)),I56)</f>
        <v>湯浅</v>
      </c>
      <c r="J56" s="128"/>
      <c r="M56" s="187"/>
      <c r="O56" s="15"/>
      <c r="P56" s="180">
        <f t="shared" ca="1" si="4"/>
        <v>0.85270412403509011</v>
      </c>
      <c r="S56" s="572"/>
      <c r="V56" s="23"/>
      <c r="X56" s="23"/>
      <c r="Y56" s="96"/>
      <c r="Z56" s="130"/>
      <c r="AA56" s="15"/>
    </row>
    <row r="57" spans="2:48" x14ac:dyDescent="0.15">
      <c r="C57" s="129">
        <v>52</v>
      </c>
      <c r="E57" s="414" t="str">
        <f t="shared" ca="1" si="6"/>
        <v>横山</v>
      </c>
      <c r="F57" s="180">
        <f ca="1">IF(H57="","",IF(シート①入力画面!$AW$45=1,P57,F57))</f>
        <v>0.91275904273655084</v>
      </c>
      <c r="G57" s="128">
        <f t="shared" ca="1" si="0"/>
        <v>0.91275904273655084</v>
      </c>
      <c r="H57" s="129" t="str">
        <f>シート①入力画面!BF122</f>
        <v>横山</v>
      </c>
      <c r="I57" s="571" t="str">
        <f>IF(シート①入力画面!$AZ$36=1,IF(ISNA(VLOOKUP(H57,$S$6:$T$53,2,FALSE)),H57,VLOOKUP(H57,$S$6:$T$53,2,FALSE)),I57)</f>
        <v>横山</v>
      </c>
      <c r="J57" s="128"/>
      <c r="O57" s="15"/>
      <c r="P57" s="180">
        <f t="shared" ca="1" si="4"/>
        <v>0.91275904273655084</v>
      </c>
      <c r="V57" s="23"/>
      <c r="X57" s="23"/>
      <c r="Y57" s="96"/>
      <c r="Z57" s="130"/>
      <c r="AA57" s="15"/>
    </row>
    <row r="58" spans="2:48" ht="28.5" x14ac:dyDescent="0.15">
      <c r="C58" s="129">
        <v>53</v>
      </c>
      <c r="E58" s="414" t="str">
        <f t="shared" ca="1" si="6"/>
        <v>五十嵐</v>
      </c>
      <c r="F58" s="180">
        <f ca="1">IF(H58="","",IF(シート①入力画面!$AW$45=1,P58,F58))</f>
        <v>0.91653247693641893</v>
      </c>
      <c r="G58" s="128">
        <f t="shared" ca="1" si="0"/>
        <v>0.91424387222704873</v>
      </c>
      <c r="H58" s="129" t="str">
        <f>シート①入力画面!BF123</f>
        <v>吉澤</v>
      </c>
      <c r="I58" s="571" t="str">
        <f>IF(シート①入力画面!$AZ$36=1,IF(ISNA(VLOOKUP(H58,$S$6:$T$53,2,FALSE)),H58,VLOOKUP(H58,$S$6:$T$53,2,FALSE)),I58)</f>
        <v>吉澤</v>
      </c>
      <c r="J58" s="128"/>
      <c r="O58" s="15"/>
      <c r="P58" s="180">
        <f t="shared" ca="1" si="4"/>
        <v>0.91653247693641893</v>
      </c>
      <c r="V58" s="23"/>
      <c r="X58" s="23"/>
      <c r="Y58" s="96"/>
      <c r="Z58" s="130"/>
      <c r="AA58" s="15"/>
      <c r="AV58" s="577" t="s">
        <v>597</v>
      </c>
    </row>
    <row r="59" spans="2:48" x14ac:dyDescent="0.15">
      <c r="C59" s="129">
        <v>54</v>
      </c>
      <c r="E59" s="414" t="str">
        <f t="shared" ca="1" si="6"/>
        <v>吉澤</v>
      </c>
      <c r="F59" s="180">
        <f ca="1">IF(H59="","",IF(シート①入力画面!$AW$45=1,P59,F59))</f>
        <v>0.94725301645711379</v>
      </c>
      <c r="G59" s="128">
        <f t="shared" ca="1" si="0"/>
        <v>0.91653247693641893</v>
      </c>
      <c r="H59" s="129" t="str">
        <f>シート①入力画面!BF124</f>
        <v>吉田</v>
      </c>
      <c r="I59" s="571" t="str">
        <f>IF(シート①入力画面!$AZ$36=1,IF(ISNA(VLOOKUP(H59,$S$6:$T$53,2,FALSE)),H59,VLOOKUP(H59,$S$6:$T$53,2,FALSE)),I59)</f>
        <v>吉田</v>
      </c>
      <c r="J59" s="128"/>
      <c r="O59" s="15"/>
      <c r="P59" s="180">
        <f t="shared" ca="1" si="4"/>
        <v>0.94725301645711379</v>
      </c>
      <c r="V59" s="23"/>
      <c r="X59" s="23"/>
      <c r="Y59" s="23"/>
      <c r="Z59" s="130"/>
      <c r="AA59" s="15"/>
    </row>
    <row r="60" spans="2:48" x14ac:dyDescent="0.15">
      <c r="C60" s="129">
        <v>55</v>
      </c>
      <c r="E60" s="414" t="str">
        <f t="shared" ca="1" si="6"/>
        <v>吉田</v>
      </c>
      <c r="F60" s="180">
        <f ca="1">IF(H60="","",IF(シート①入力画面!$AW$45=1,P60,F60))</f>
        <v>0.89278464338008723</v>
      </c>
      <c r="G60" s="128">
        <f t="shared" ca="1" si="0"/>
        <v>0.94725301645711379</v>
      </c>
      <c r="H60" s="129" t="str">
        <f>シート①入力画面!BF125</f>
        <v>渡辺昭</v>
      </c>
      <c r="I60" s="571" t="str">
        <f>IF(シート①入力画面!$AZ$36=1,IF(ISNA(VLOOKUP(H60,$S$6:$T$53,2,FALSE)),H60,VLOOKUP(H60,$S$6:$T$53,2,FALSE)),I60)</f>
        <v>渡辺昭</v>
      </c>
      <c r="J60" s="128"/>
      <c r="O60" s="15"/>
      <c r="P60" s="180">
        <f t="shared" ca="1" si="4"/>
        <v>0.89278464338008723</v>
      </c>
      <c r="V60" s="23"/>
      <c r="X60" s="23"/>
      <c r="Y60" s="23"/>
      <c r="Z60" s="130"/>
      <c r="AA60" s="15"/>
    </row>
    <row r="61" spans="2:48" x14ac:dyDescent="0.15">
      <c r="C61" s="129">
        <v>56</v>
      </c>
      <c r="E61" s="414" t="str">
        <f t="shared" ca="1" si="6"/>
        <v>岡本</v>
      </c>
      <c r="F61" s="180">
        <f ca="1">IF(H61="","",IF(シート①入力画面!$AW$45=1,P61,F61))</f>
        <v>0.63694905036404659</v>
      </c>
      <c r="G61" s="128">
        <f t="shared" ca="1" si="0"/>
        <v>0.95533223341269213</v>
      </c>
      <c r="H61" s="129" t="str">
        <f>シート①入力画面!BF126</f>
        <v>渡辺政</v>
      </c>
      <c r="I61" s="571" t="str">
        <f>IF(シート①入力画面!$AZ$36=1,IF(ISNA(VLOOKUP(H61,$S$6:$T$53,2,FALSE)),H61,VLOOKUP(H61,$S$6:$T$53,2,FALSE)),I61)</f>
        <v>渡辺政</v>
      </c>
      <c r="J61" s="128"/>
      <c r="P61" s="180">
        <f t="shared" ca="1" si="4"/>
        <v>0.63694905036404659</v>
      </c>
    </row>
    <row r="62" spans="2:48" x14ac:dyDescent="0.15">
      <c r="C62" s="129">
        <v>57</v>
      </c>
      <c r="E62" s="414" t="str">
        <f t="shared" ca="1" si="6"/>
        <v>君島</v>
      </c>
      <c r="F62" s="180">
        <f ca="1">IF(H62="","",IF(シート①入力画面!$AW$45=1,P62,F62))</f>
        <v>0.66169192216125949</v>
      </c>
      <c r="G62" s="128">
        <f t="shared" ca="1" si="0"/>
        <v>0.9576471812228774</v>
      </c>
      <c r="H62" s="129" t="str">
        <f>シート①入力画面!BF127</f>
        <v>村中</v>
      </c>
      <c r="I62" s="571" t="str">
        <f>IF(シート①入力画面!$AZ$36=1,IF(ISNA(VLOOKUP(H62,$S$6:$T$53,2,FALSE)),H62,VLOOKUP(H62,$S$6:$T$53,2,FALSE)),I62)</f>
        <v>村中</v>
      </c>
      <c r="J62" s="128"/>
      <c r="P62" s="180">
        <f t="shared" ca="1" si="4"/>
        <v>0.66169192216125949</v>
      </c>
    </row>
    <row r="63" spans="2:48" x14ac:dyDescent="0.15">
      <c r="C63" s="129">
        <v>58</v>
      </c>
      <c r="E63" s="414" t="str">
        <f t="shared" ca="1" si="6"/>
        <v>藤田</v>
      </c>
      <c r="F63" s="180">
        <f ca="1">IF(H63="","",IF(シート①入力画面!$AW$45=1,P63,F63))</f>
        <v>0.27194418608368742</v>
      </c>
      <c r="G63" s="128">
        <f t="shared" ca="1" si="0"/>
        <v>0.96984781467765557</v>
      </c>
      <c r="H63" s="129" t="str">
        <f>シート①入力画面!BF128</f>
        <v>奈良</v>
      </c>
      <c r="I63" s="571" t="str">
        <f>IF(シート①入力画面!$AZ$36=1,IF(ISNA(VLOOKUP(H63,$S$6:$T$53,2,FALSE)),H63,VLOOKUP(H63,$S$6:$T$53,2,FALSE)),I63)</f>
        <v>奈良</v>
      </c>
      <c r="J63" s="128"/>
      <c r="P63" s="180">
        <f t="shared" ca="1" si="4"/>
        <v>0.27194418608368742</v>
      </c>
    </row>
    <row r="64" spans="2:48" ht="14.25" thickBot="1" x14ac:dyDescent="0.2">
      <c r="B64" s="424"/>
      <c r="C64" s="425">
        <v>59</v>
      </c>
      <c r="D64" s="424"/>
      <c r="E64" s="414" t="e">
        <f t="shared" ca="1" si="6"/>
        <v>#NUM!</v>
      </c>
      <c r="F64" s="426" t="str">
        <f>IF(H64="","",IF(シート①入力画面!$AW$45=1,P64,F64))</f>
        <v/>
      </c>
      <c r="G64" s="427" t="e">
        <f t="shared" ca="1" si="0"/>
        <v>#NUM!</v>
      </c>
      <c r="H64" s="425" t="str">
        <f>シート①入力画面!BF129</f>
        <v/>
      </c>
      <c r="I64" s="571" t="str">
        <f>IF(シート①入力画面!$AZ$36=1,IF(ISNA(VLOOKUP(H64,$S$6:$T$53,2,FALSE)),H64,VLOOKUP(H64,$S$6:$T$53,2,FALSE)),I64)</f>
        <v/>
      </c>
      <c r="J64" s="427"/>
      <c r="K64" s="428" t="s">
        <v>352</v>
      </c>
      <c r="L64" s="424"/>
      <c r="P64" s="180">
        <f t="shared" ca="1" si="4"/>
        <v>0.80039322990615558</v>
      </c>
    </row>
    <row r="65" spans="1:16" ht="14.25" thickTop="1" x14ac:dyDescent="0.15">
      <c r="C65" s="422">
        <v>60</v>
      </c>
      <c r="E65" s="414" t="e">
        <f t="shared" ca="1" si="6"/>
        <v>#NUM!</v>
      </c>
      <c r="F65" s="423" t="str">
        <f>IF(H65="","",IF(シート①入力画面!$AW$45=1,P65,F65))</f>
        <v/>
      </c>
      <c r="G65" s="128" t="e">
        <f t="shared" ca="1" si="0"/>
        <v>#NUM!</v>
      </c>
      <c r="H65" s="422" t="str">
        <f>シート①入力画面!BF130</f>
        <v/>
      </c>
      <c r="I65" s="571" t="str">
        <f>IF(シート①入力画面!$AZ$36=1,IF(ISNA(VLOOKUP(H65,$S$6:$T$53,2,FALSE)),H65,VLOOKUP(H65,$S$6:$T$53,2,FALSE)),I65)</f>
        <v/>
      </c>
      <c r="J65" s="128"/>
      <c r="P65" s="180">
        <f t="shared" ca="1" si="4"/>
        <v>0.51070606676763053</v>
      </c>
    </row>
    <row r="66" spans="1:16" x14ac:dyDescent="0.15">
      <c r="C66" s="415">
        <v>61</v>
      </c>
      <c r="E66" s="414" t="e">
        <f t="shared" ca="1" si="6"/>
        <v>#NUM!</v>
      </c>
      <c r="F66" s="181" t="str">
        <f>IF(H66="","",IF(シート①入力画面!$AW$45=1,P66,F66))</f>
        <v/>
      </c>
      <c r="G66" s="128" t="e">
        <f ca="1">SMALL($F$6:$F$70,C66)</f>
        <v>#NUM!</v>
      </c>
      <c r="H66" s="128" t="str">
        <f>シート①入力画面!BF131</f>
        <v/>
      </c>
      <c r="I66" s="571" t="str">
        <f>IF(シート①入力画面!$AZ$36=1,IF(ISNA(VLOOKUP(H66,$S$6:$T$53,2,FALSE)),H66,VLOOKUP(H66,$S$6:$T$53,2,FALSE)),I66)</f>
        <v/>
      </c>
      <c r="N66" s="192"/>
      <c r="P66" s="181">
        <f t="shared" ca="1" si="4"/>
        <v>0.47338228673410343</v>
      </c>
    </row>
    <row r="67" spans="1:16" x14ac:dyDescent="0.15">
      <c r="C67" s="415">
        <v>62</v>
      </c>
      <c r="E67" s="414" t="e">
        <f t="shared" ca="1" si="6"/>
        <v>#NUM!</v>
      </c>
      <c r="F67" s="181" t="str">
        <f>IF(H67="","",IF(シート①入力画面!$AW$45=1,P67,F67))</f>
        <v/>
      </c>
      <c r="G67" s="128" t="e">
        <f t="shared" ref="G67:G70" ca="1" si="9">SMALL($F$6:$F$70,C67)</f>
        <v>#NUM!</v>
      </c>
      <c r="H67" s="128" t="str">
        <f>シート①入力画面!BF132</f>
        <v/>
      </c>
      <c r="I67" s="571" t="str">
        <f>IF(シート①入力画面!$AZ$36=1,IF(ISNA(VLOOKUP(H67,$S$6:$T$53,2,FALSE)),H67,VLOOKUP(H67,$S$6:$T$53,2,FALSE)),I67)</f>
        <v/>
      </c>
      <c r="N67" s="192"/>
      <c r="P67" s="181">
        <f t="shared" ca="1" si="4"/>
        <v>0.96161243895998982</v>
      </c>
    </row>
    <row r="68" spans="1:16" x14ac:dyDescent="0.15">
      <c r="C68" s="415">
        <v>63</v>
      </c>
      <c r="E68" s="414" t="e">
        <f t="shared" ca="1" si="6"/>
        <v>#NUM!</v>
      </c>
      <c r="F68" s="181" t="str">
        <f>IF(H68="","",IF(シート①入力画面!$AW$45=1,P68,F68))</f>
        <v/>
      </c>
      <c r="G68" s="128" t="e">
        <f t="shared" ca="1" si="9"/>
        <v>#NUM!</v>
      </c>
      <c r="H68" s="128" t="str">
        <f>シート①入力画面!BF133</f>
        <v/>
      </c>
      <c r="I68" s="571" t="str">
        <f>IF(シート①入力画面!$AZ$36=1,IF(ISNA(VLOOKUP(H68,$S$6:$T$53,2,FALSE)),H68,VLOOKUP(H68,$S$6:$T$53,2,FALSE)),I68)</f>
        <v/>
      </c>
      <c r="N68" s="192"/>
      <c r="P68" s="181">
        <f t="shared" ca="1" si="4"/>
        <v>0.51744328419694441</v>
      </c>
    </row>
    <row r="69" spans="1:16" x14ac:dyDescent="0.15">
      <c r="C69" s="415">
        <v>64</v>
      </c>
      <c r="E69" s="414" t="e">
        <f t="shared" ca="1" si="6"/>
        <v>#NUM!</v>
      </c>
      <c r="F69" s="181" t="str">
        <f>IF(H69="","",IF(シート①入力画面!$AW$45=1,P69,F69))</f>
        <v/>
      </c>
      <c r="G69" s="128" t="e">
        <f t="shared" ca="1" si="9"/>
        <v>#NUM!</v>
      </c>
      <c r="H69" s="128" t="str">
        <f>シート①入力画面!BF134</f>
        <v/>
      </c>
      <c r="I69" s="571" t="str">
        <f>IF(シート①入力画面!$AZ$36=1,IF(ISNA(VLOOKUP(H69,$S$6:$T$53,2,FALSE)),H69,VLOOKUP(H69,$S$6:$T$53,2,FALSE)),I69)</f>
        <v/>
      </c>
      <c r="P69" s="181">
        <f t="shared" ca="1" si="4"/>
        <v>0.99927967621064306</v>
      </c>
    </row>
    <row r="70" spans="1:16" x14ac:dyDescent="0.15">
      <c r="C70" s="415">
        <v>65</v>
      </c>
      <c r="E70" s="414" t="e">
        <f t="shared" ca="1" si="6"/>
        <v>#NUM!</v>
      </c>
      <c r="F70" s="181" t="str">
        <f>IF(H70="","",IF(シート①入力画面!$AW$45=1,P70,F70))</f>
        <v/>
      </c>
      <c r="G70" s="128" t="e">
        <f t="shared" ca="1" si="9"/>
        <v>#NUM!</v>
      </c>
      <c r="H70" s="128" t="str">
        <f>シート①入力画面!BF135</f>
        <v/>
      </c>
      <c r="I70" s="571" t="str">
        <f>IF(シート①入力画面!$AZ$36=1,IF(ISNA(VLOOKUP(H70,$S$6:$T$53,2,FALSE)),H70,VLOOKUP(H70,$S$6:$T$53,2,FALSE)),I70)</f>
        <v/>
      </c>
      <c r="P70" s="181">
        <f t="shared" ref="P70" ca="1" si="10">RAND()</f>
        <v>0.54162579322084314</v>
      </c>
    </row>
    <row r="74" spans="1:16" x14ac:dyDescent="0.15">
      <c r="I74" s="192" t="s">
        <v>153</v>
      </c>
      <c r="J74" s="192"/>
      <c r="K74" s="192"/>
      <c r="L74" s="192"/>
      <c r="M74" s="192"/>
      <c r="O74" t="s">
        <v>56</v>
      </c>
    </row>
    <row r="75" spans="1:16" x14ac:dyDescent="0.15">
      <c r="A75" t="s">
        <v>130</v>
      </c>
      <c r="E75" s="182" t="s">
        <v>107</v>
      </c>
      <c r="I75" s="192" t="s">
        <v>154</v>
      </c>
      <c r="J75" s="192"/>
      <c r="K75" s="192"/>
      <c r="L75" s="192"/>
      <c r="M75" s="192"/>
      <c r="O75" t="s">
        <v>57</v>
      </c>
    </row>
    <row r="76" spans="1:16" x14ac:dyDescent="0.15">
      <c r="A76" t="s">
        <v>133</v>
      </c>
      <c r="E76" s="182" t="s">
        <v>108</v>
      </c>
      <c r="I76" s="192" t="s">
        <v>155</v>
      </c>
      <c r="J76" s="192"/>
      <c r="K76" s="192"/>
      <c r="L76" s="192"/>
      <c r="M76" s="192"/>
      <c r="O76" t="s">
        <v>58</v>
      </c>
    </row>
    <row r="77" spans="1:16" x14ac:dyDescent="0.15">
      <c r="A77" t="s">
        <v>131</v>
      </c>
      <c r="E77" s="182" t="s">
        <v>109</v>
      </c>
      <c r="I77" s="192" t="s">
        <v>156</v>
      </c>
      <c r="O77" t="s">
        <v>59</v>
      </c>
    </row>
    <row r="78" spans="1:16" x14ac:dyDescent="0.15">
      <c r="A78" t="s">
        <v>132</v>
      </c>
      <c r="E78" s="182" t="s">
        <v>110</v>
      </c>
    </row>
    <row r="79" spans="1:16" x14ac:dyDescent="0.15">
      <c r="A79" t="s">
        <v>134</v>
      </c>
    </row>
    <row r="81" spans="5:5" x14ac:dyDescent="0.15">
      <c r="E81" s="190" t="s">
        <v>140</v>
      </c>
    </row>
    <row r="82" spans="5:5" x14ac:dyDescent="0.15">
      <c r="E82" s="190" t="s">
        <v>141</v>
      </c>
    </row>
    <row r="83" spans="5:5" x14ac:dyDescent="0.15">
      <c r="E83" s="190" t="s">
        <v>142</v>
      </c>
    </row>
    <row r="84" spans="5:5" x14ac:dyDescent="0.15">
      <c r="E84" s="190" t="s">
        <v>143</v>
      </c>
    </row>
    <row r="85" spans="5:5" x14ac:dyDescent="0.15">
      <c r="E85" s="190" t="s">
        <v>146</v>
      </c>
    </row>
    <row r="86" spans="5:5" x14ac:dyDescent="0.15">
      <c r="E86" s="190" t="s">
        <v>147</v>
      </c>
    </row>
    <row r="87" spans="5:5" x14ac:dyDescent="0.15">
      <c r="E87" s="190" t="s">
        <v>148</v>
      </c>
    </row>
  </sheetData>
  <sheetProtection password="EBCD" sheet="1" objects="1" scenarios="1" selectLockedCells="1" selectUnlockedCells="1"/>
  <mergeCells count="1">
    <mergeCell ref="T4:U4"/>
  </mergeCells>
  <phoneticPr fontId="1"/>
  <conditionalFormatting sqref="Y6">
    <cfRule type="colorScale" priority="9">
      <colorScale>
        <cfvo type="min"/>
        <cfvo type="max"/>
        <color rgb="FFFF7128"/>
        <color rgb="FFFFEF9C"/>
      </colorScale>
    </cfRule>
  </conditionalFormatting>
  <conditionalFormatting sqref="Y7">
    <cfRule type="colorScale" priority="8">
      <colorScale>
        <cfvo type="min"/>
        <cfvo type="max"/>
        <color rgb="FFFF7128"/>
        <color rgb="FFFFEF9C"/>
      </colorScale>
    </cfRule>
  </conditionalFormatting>
  <conditionalFormatting sqref="Y8:Y23">
    <cfRule type="colorScale" priority="7">
      <colorScale>
        <cfvo type="min"/>
        <cfvo type="max"/>
        <color rgb="FFFF7128"/>
        <color rgb="FFFFEF9C"/>
      </colorScale>
    </cfRule>
  </conditionalFormatting>
  <conditionalFormatting sqref="Y24:Y38">
    <cfRule type="colorScale" priority="6">
      <colorScale>
        <cfvo type="min"/>
        <cfvo type="max"/>
        <color rgb="FFFF7128"/>
        <color rgb="FFFFEF9C"/>
      </colorScale>
    </cfRule>
  </conditionalFormatting>
  <conditionalFormatting sqref="Y39:Y56">
    <cfRule type="colorScale" priority="5">
      <colorScale>
        <cfvo type="min"/>
        <cfvo type="max"/>
        <color rgb="FFFF7128"/>
        <color rgb="FFFFEF9C"/>
      </colorScale>
    </cfRule>
  </conditionalFormatting>
  <conditionalFormatting sqref="Y57">
    <cfRule type="colorScale" priority="4">
      <colorScale>
        <cfvo type="min"/>
        <cfvo type="max"/>
        <color rgb="FFFF7128"/>
        <color rgb="FFFFEF9C"/>
      </colorScale>
    </cfRule>
  </conditionalFormatting>
  <conditionalFormatting sqref="Y58">
    <cfRule type="colorScale" priority="3">
      <colorScale>
        <cfvo type="min"/>
        <cfvo type="max"/>
        <color rgb="FFFF7128"/>
        <color rgb="FFFFEF9C"/>
      </colorScale>
    </cfRule>
  </conditionalFormatting>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O87"/>
  <sheetViews>
    <sheetView workbookViewId="0">
      <selection activeCell="B1" sqref="B1:N1048576"/>
    </sheetView>
  </sheetViews>
  <sheetFormatPr defaultRowHeight="13.5" x14ac:dyDescent="0.15"/>
  <cols>
    <col min="1" max="1" width="2.125" customWidth="1"/>
    <col min="2" max="14" width="9" hidden="1" customWidth="1"/>
    <col min="15" max="15" width="2.5" customWidth="1"/>
    <col min="17" max="17" width="5.375" customWidth="1"/>
    <col min="19" max="19" width="10.875" customWidth="1"/>
    <col min="20" max="20" width="16.25" customWidth="1"/>
    <col min="21" max="21" width="12" customWidth="1"/>
  </cols>
  <sheetData>
    <row r="1" spans="1:15" x14ac:dyDescent="0.15">
      <c r="A1" s="348"/>
      <c r="O1" s="348"/>
    </row>
    <row r="2" spans="1:15" x14ac:dyDescent="0.15">
      <c r="B2" t="s">
        <v>269</v>
      </c>
    </row>
    <row r="4" spans="1:15" x14ac:dyDescent="0.15">
      <c r="H4" t="s">
        <v>335</v>
      </c>
    </row>
    <row r="5" spans="1:15" x14ac:dyDescent="0.15">
      <c r="C5" s="107" t="str">
        <f>シート①入力画面!CS12</f>
        <v>安藤</v>
      </c>
      <c r="D5" s="547" t="e">
        <f>IF(シート①入力画面!CU12="","",シート①入力画面!CU12)</f>
        <v>#VALUE!</v>
      </c>
      <c r="H5" s="107" t="s">
        <v>334</v>
      </c>
      <c r="I5" s="107" t="s">
        <v>326</v>
      </c>
      <c r="J5" s="107"/>
      <c r="K5" s="107"/>
      <c r="L5" s="107"/>
      <c r="M5" s="107"/>
    </row>
    <row r="6" spans="1:15" x14ac:dyDescent="0.15">
      <c r="C6" s="107" t="str">
        <f>シート①入力画面!CS13</f>
        <v>飯田</v>
      </c>
      <c r="D6" s="547" t="e">
        <f>IF(シート①入力画面!CU13="","",シート①入力画面!CU13)</f>
        <v>#VALUE!</v>
      </c>
      <c r="H6" s="107" t="str">
        <f>シート②組合せ表!C14</f>
        <v/>
      </c>
      <c r="I6" s="107" t="str">
        <f>シート②組合せ表!D14</f>
        <v/>
      </c>
      <c r="J6" s="107" t="str">
        <f>シート②組合せ表!E14</f>
        <v/>
      </c>
      <c r="K6" s="107" t="str">
        <f>シート②組合せ表!F14</f>
        <v/>
      </c>
      <c r="L6" s="107" t="str">
        <f>シート②組合せ表!G14</f>
        <v/>
      </c>
      <c r="M6" s="107" t="str">
        <f>シート②組合せ表!H14</f>
        <v/>
      </c>
    </row>
    <row r="7" spans="1:15" x14ac:dyDescent="0.15">
      <c r="C7" s="107" t="str">
        <f>シート①入力画面!CS14</f>
        <v>五十嵐</v>
      </c>
      <c r="D7" s="547" t="e">
        <f>IF(シート①入力画面!CU14="","",シート①入力画面!CU14)</f>
        <v>#VALUE!</v>
      </c>
      <c r="H7" s="107" t="str">
        <f>シート②組合せ表!C15</f>
        <v/>
      </c>
      <c r="I7" s="107" t="str">
        <f>シート②組合せ表!D15</f>
        <v/>
      </c>
      <c r="J7" s="107" t="str">
        <f>シート②組合せ表!E15</f>
        <v/>
      </c>
      <c r="K7" s="107" t="str">
        <f>シート②組合せ表!F15</f>
        <v/>
      </c>
      <c r="L7" s="107" t="str">
        <f>シート②組合せ表!G15</f>
        <v/>
      </c>
      <c r="M7" s="107" t="str">
        <f>シート②組合せ表!H15</f>
        <v/>
      </c>
    </row>
    <row r="8" spans="1:15" x14ac:dyDescent="0.15">
      <c r="C8" s="107" t="str">
        <f>シート①入力画面!CS15</f>
        <v>市来</v>
      </c>
      <c r="D8" s="547" t="e">
        <f>IF(シート①入力画面!CU15="","",シート①入力画面!CU15)</f>
        <v>#VALUE!</v>
      </c>
      <c r="H8" s="107" t="str">
        <f>シート②組合せ表!C16</f>
        <v/>
      </c>
      <c r="I8" s="107" t="str">
        <f>シート②組合せ表!D16</f>
        <v/>
      </c>
      <c r="J8" s="107" t="str">
        <f>シート②組合せ表!E16</f>
        <v/>
      </c>
      <c r="K8" s="107" t="str">
        <f>シート②組合せ表!F16</f>
        <v/>
      </c>
      <c r="L8" s="107" t="str">
        <f>シート②組合せ表!G16</f>
        <v/>
      </c>
      <c r="M8" s="107" t="str">
        <f>シート②組合せ表!H16</f>
        <v/>
      </c>
    </row>
    <row r="9" spans="1:15" x14ac:dyDescent="0.15">
      <c r="C9" s="107" t="str">
        <f>シート①入力画面!CS16</f>
        <v>伊藤</v>
      </c>
      <c r="D9" s="547" t="e">
        <f>IF(シート①入力画面!CU16="","",シート①入力画面!CU16)</f>
        <v>#VALUE!</v>
      </c>
      <c r="H9" s="107" t="str">
        <f>シート②組合せ表!C17</f>
        <v/>
      </c>
      <c r="I9" s="107" t="str">
        <f>シート②組合せ表!D17</f>
        <v/>
      </c>
      <c r="J9" s="107" t="str">
        <f>シート②組合せ表!E17</f>
        <v/>
      </c>
      <c r="K9" s="107" t="str">
        <f>シート②組合せ表!F17</f>
        <v/>
      </c>
      <c r="L9" s="107" t="str">
        <f>シート②組合せ表!G17</f>
        <v/>
      </c>
      <c r="M9" s="107" t="str">
        <f>シート②組合せ表!H17</f>
        <v/>
      </c>
    </row>
    <row r="10" spans="1:15" x14ac:dyDescent="0.15">
      <c r="C10" s="107" t="str">
        <f>シート①入力画面!CS17</f>
        <v>上田</v>
      </c>
      <c r="D10" s="547" t="e">
        <f>IF(シート①入力画面!CU17="","",シート①入力画面!CU17)</f>
        <v>#VALUE!</v>
      </c>
      <c r="H10" s="107" t="str">
        <f>シート②組合せ表!C18</f>
        <v/>
      </c>
      <c r="I10" s="107" t="str">
        <f>シート②組合せ表!D18</f>
        <v/>
      </c>
      <c r="J10" s="107" t="str">
        <f>シート②組合せ表!E18</f>
        <v/>
      </c>
      <c r="K10" s="107" t="str">
        <f>シート②組合せ表!F18</f>
        <v/>
      </c>
      <c r="L10" s="107" t="str">
        <f>シート②組合せ表!G18</f>
        <v/>
      </c>
      <c r="M10" s="107" t="str">
        <f>シート②組合せ表!H18</f>
        <v/>
      </c>
    </row>
    <row r="11" spans="1:15" x14ac:dyDescent="0.15">
      <c r="C11" s="107" t="str">
        <f>シート①入力画面!CS18</f>
        <v>大塩</v>
      </c>
      <c r="D11" s="547" t="e">
        <f>IF(シート①入力画面!CU18="","",シート①入力画面!CU18)</f>
        <v>#VALUE!</v>
      </c>
      <c r="H11" s="107" t="str">
        <f>シート②組合せ表!C19</f>
        <v/>
      </c>
      <c r="I11" s="107" t="str">
        <f>シート②組合せ表!D19</f>
        <v/>
      </c>
      <c r="J11" s="107" t="str">
        <f>シート②組合せ表!E19</f>
        <v/>
      </c>
      <c r="K11" s="107" t="str">
        <f>シート②組合せ表!F19</f>
        <v/>
      </c>
      <c r="L11" s="107" t="str">
        <f>シート②組合せ表!G19</f>
        <v/>
      </c>
      <c r="M11" s="107" t="str">
        <f>シート②組合せ表!H19</f>
        <v/>
      </c>
    </row>
    <row r="12" spans="1:15" x14ac:dyDescent="0.15">
      <c r="C12" s="107" t="str">
        <f>シート①入力画面!CS19</f>
        <v>大橋</v>
      </c>
      <c r="D12" s="547" t="e">
        <f>IF(シート①入力画面!CU19="","",シート①入力画面!CU19)</f>
        <v>#VALUE!</v>
      </c>
      <c r="H12" s="107" t="str">
        <f>シート②組合せ表!C20</f>
        <v/>
      </c>
      <c r="I12" s="107" t="str">
        <f>シート②組合せ表!D20</f>
        <v/>
      </c>
      <c r="J12" s="107" t="str">
        <f>シート②組合せ表!E20</f>
        <v/>
      </c>
      <c r="K12" s="107" t="str">
        <f>シート②組合せ表!F20</f>
        <v/>
      </c>
      <c r="L12" s="107" t="str">
        <f>シート②組合せ表!G20</f>
        <v/>
      </c>
      <c r="M12" s="107" t="str">
        <f>シート②組合せ表!H20</f>
        <v/>
      </c>
    </row>
    <row r="13" spans="1:15" x14ac:dyDescent="0.15">
      <c r="C13" s="107" t="str">
        <f>シート①入力画面!CS20</f>
        <v>岡本</v>
      </c>
      <c r="D13" s="547" t="e">
        <f>IF(シート①入力画面!CU20="","",シート①入力画面!CU20)</f>
        <v>#VALUE!</v>
      </c>
      <c r="H13" s="107" t="str">
        <f>シート②組合せ表!C21</f>
        <v/>
      </c>
      <c r="I13" s="107" t="str">
        <f>シート②組合せ表!D21</f>
        <v/>
      </c>
      <c r="J13" s="107" t="str">
        <f>シート②組合せ表!E21</f>
        <v/>
      </c>
      <c r="K13" s="107" t="str">
        <f>シート②組合せ表!F21</f>
        <v/>
      </c>
      <c r="L13" s="107" t="str">
        <f>シート②組合せ表!G21</f>
        <v/>
      </c>
      <c r="M13" s="107" t="str">
        <f>シート②組合せ表!H21</f>
        <v/>
      </c>
    </row>
    <row r="14" spans="1:15" x14ac:dyDescent="0.15">
      <c r="C14" s="107" t="str">
        <f>シート①入力画面!CS21</f>
        <v>興津</v>
      </c>
      <c r="D14" s="547" t="e">
        <f>IF(シート①入力画面!CU21="","",シート①入力画面!CU21)</f>
        <v>#VALUE!</v>
      </c>
      <c r="H14" s="107" t="str">
        <f>シート②組合せ表!C22</f>
        <v/>
      </c>
      <c r="I14" s="107" t="str">
        <f>シート②組合せ表!D22</f>
        <v/>
      </c>
      <c r="J14" s="107" t="str">
        <f>シート②組合せ表!E22</f>
        <v/>
      </c>
      <c r="K14" s="107" t="str">
        <f>シート②組合せ表!F22</f>
        <v/>
      </c>
      <c r="L14" s="107" t="str">
        <f>シート②組合せ表!G22</f>
        <v/>
      </c>
      <c r="M14" s="107" t="str">
        <f>シート②組合せ表!H22</f>
        <v/>
      </c>
    </row>
    <row r="15" spans="1:15" x14ac:dyDescent="0.15">
      <c r="C15" s="107" t="str">
        <f>シート①入力画面!CS22</f>
        <v>奥原</v>
      </c>
      <c r="D15" s="547" t="e">
        <f>IF(シート①入力画面!CU22="","",シート①入力画面!CU22)</f>
        <v>#VALUE!</v>
      </c>
      <c r="H15" s="107" t="str">
        <f>シート②組合せ表!C23</f>
        <v/>
      </c>
      <c r="I15" s="107" t="str">
        <f>シート②組合せ表!D23</f>
        <v/>
      </c>
      <c r="J15" s="107" t="str">
        <f>シート②組合せ表!E23</f>
        <v/>
      </c>
      <c r="K15" s="107" t="str">
        <f>シート②組合せ表!F23</f>
        <v/>
      </c>
      <c r="L15" s="107" t="str">
        <f>シート②組合せ表!G23</f>
        <v/>
      </c>
      <c r="M15" s="107" t="str">
        <f>シート②組合せ表!H23</f>
        <v/>
      </c>
    </row>
    <row r="16" spans="1:15" x14ac:dyDescent="0.15">
      <c r="C16" s="107" t="str">
        <f>シート①入力画面!CS23</f>
        <v>小倉</v>
      </c>
      <c r="D16" s="547" t="e">
        <f>IF(シート①入力画面!CU23="","",シート①入力画面!CU23)</f>
        <v>#VALUE!</v>
      </c>
      <c r="H16" s="107" t="str">
        <f>シート②組合せ表!C24</f>
        <v/>
      </c>
      <c r="I16" s="107" t="str">
        <f>シート②組合せ表!D24</f>
        <v/>
      </c>
      <c r="J16" s="107" t="str">
        <f>シート②組合せ表!E24</f>
        <v/>
      </c>
      <c r="K16" s="107" t="str">
        <f>シート②組合せ表!F24</f>
        <v/>
      </c>
      <c r="L16" s="107" t="str">
        <f>シート②組合せ表!G24</f>
        <v/>
      </c>
      <c r="M16" s="107" t="str">
        <f>シート②組合せ表!H24</f>
        <v/>
      </c>
    </row>
    <row r="17" spans="3:13" x14ac:dyDescent="0.15">
      <c r="C17" s="107" t="str">
        <f>シート①入力画面!CS24</f>
        <v>小野山</v>
      </c>
      <c r="D17" s="547" t="e">
        <f>IF(シート①入力画面!CU24="","",シート①入力画面!CU24)</f>
        <v>#VALUE!</v>
      </c>
      <c r="H17" s="107" t="str">
        <f>シート②組合せ表!C25</f>
        <v/>
      </c>
      <c r="I17" s="107" t="str">
        <f>シート②組合せ表!D25</f>
        <v/>
      </c>
      <c r="J17" s="107" t="str">
        <f>シート②組合せ表!E25</f>
        <v/>
      </c>
      <c r="K17" s="107" t="str">
        <f>シート②組合せ表!F25</f>
        <v/>
      </c>
      <c r="L17" s="107" t="str">
        <f>シート②組合せ表!G25</f>
        <v/>
      </c>
      <c r="M17" s="107" t="str">
        <f>シート②組合せ表!H25</f>
        <v/>
      </c>
    </row>
    <row r="18" spans="3:13" ht="14.25" thickBot="1" x14ac:dyDescent="0.2">
      <c r="C18" s="107" t="str">
        <f>シート①入力画面!CS25</f>
        <v>笠原</v>
      </c>
      <c r="D18" s="547" t="e">
        <f>IF(シート①入力画面!CU25="","",シート①入力画面!CU25)</f>
        <v>#VALUE!</v>
      </c>
      <c r="M18" s="649" t="s">
        <v>602</v>
      </c>
    </row>
    <row r="19" spans="3:13" ht="14.25" thickBot="1" x14ac:dyDescent="0.2">
      <c r="C19" s="107" t="str">
        <f>シート①入力画面!CS26</f>
        <v>勝田</v>
      </c>
      <c r="D19" s="547" t="e">
        <f>IF(シート①入力画面!CU26="","",シート①入力画面!CU26)</f>
        <v>#VALUE!</v>
      </c>
      <c r="I19" s="646" t="s">
        <v>337</v>
      </c>
      <c r="J19" s="648">
        <f>13-COUNTBLANK(J6:J17)</f>
        <v>1</v>
      </c>
      <c r="K19" s="647" t="s">
        <v>363</v>
      </c>
      <c r="M19" t="s">
        <v>603</v>
      </c>
    </row>
    <row r="20" spans="3:13" x14ac:dyDescent="0.15">
      <c r="C20" s="107" t="str">
        <f>シート①入力画面!CS27</f>
        <v>神崎</v>
      </c>
      <c r="D20" s="547" t="e">
        <f>IF(シート①入力画面!CU27="","",シート①入力画面!CU27)</f>
        <v>#VALUE!</v>
      </c>
      <c r="M20" t="s">
        <v>604</v>
      </c>
    </row>
    <row r="21" spans="3:13" x14ac:dyDescent="0.15">
      <c r="C21" s="107" t="str">
        <f>シート①入力画面!CS28</f>
        <v>神林</v>
      </c>
      <c r="D21" s="547" t="e">
        <f>IF(シート①入力画面!CU28="","",シート①入力画面!CU28)</f>
        <v>#VALUE!</v>
      </c>
      <c r="H21" t="s">
        <v>336</v>
      </c>
      <c r="M21" t="s">
        <v>605</v>
      </c>
    </row>
    <row r="22" spans="3:13" x14ac:dyDescent="0.15">
      <c r="C22" s="107" t="str">
        <f>シート①入力画面!CS29</f>
        <v>君島</v>
      </c>
      <c r="D22" s="547" t="e">
        <f>IF(シート①入力画面!CU29="","",シート①入力画面!CU29)</f>
        <v>#VALUE!</v>
      </c>
      <c r="H22" s="637" t="str">
        <f>IF(シート①入力画面!Y53="","",シート①入力画面!Y53)</f>
        <v/>
      </c>
      <c r="I22" s="638"/>
      <c r="J22" s="638"/>
      <c r="K22" s="639"/>
    </row>
    <row r="23" spans="3:13" x14ac:dyDescent="0.15">
      <c r="C23" s="107" t="str">
        <f>シート①入力画面!CS30</f>
        <v>郷間</v>
      </c>
      <c r="D23" s="547" t="e">
        <f>IF(シート①入力画面!CU30="","",シート①入力画面!CU30)</f>
        <v>#VALUE!</v>
      </c>
      <c r="H23" s="640" t="str">
        <f>IF(シート①入力画面!Y54="","",シート①入力画面!Y54)</f>
        <v/>
      </c>
      <c r="I23" s="641"/>
      <c r="J23" s="641"/>
      <c r="K23" s="642"/>
    </row>
    <row r="24" spans="3:13" x14ac:dyDescent="0.15">
      <c r="C24" s="107" t="str">
        <f>シート①入力画面!CS31</f>
        <v>小林邦</v>
      </c>
      <c r="D24" s="547" t="e">
        <f>IF(シート①入力画面!CU31="","",シート①入力画面!CU31)</f>
        <v>#VALUE!</v>
      </c>
      <c r="H24" s="643" t="str">
        <f>IF(シート①入力画面!Y55="","",シート①入力画面!Y55)</f>
        <v/>
      </c>
      <c r="I24" s="644"/>
      <c r="J24" s="644"/>
      <c r="K24" s="645"/>
    </row>
    <row r="25" spans="3:13" x14ac:dyDescent="0.15">
      <c r="C25" s="107" t="str">
        <f>シート①入力画面!CS32</f>
        <v>小林修</v>
      </c>
      <c r="D25" s="547" t="e">
        <f>IF(シート①入力画面!CU32="","",シート①入力画面!CU32)</f>
        <v>#VALUE!</v>
      </c>
    </row>
    <row r="26" spans="3:13" x14ac:dyDescent="0.15">
      <c r="C26" s="107" t="str">
        <f>シート①入力画面!CS33</f>
        <v>小和瀬</v>
      </c>
      <c r="D26" s="547" t="e">
        <f>IF(シート①入力画面!CU33="","",シート①入力画面!CU33)</f>
        <v>#VALUE!</v>
      </c>
    </row>
    <row r="27" spans="3:13" x14ac:dyDescent="0.15">
      <c r="C27" s="107" t="str">
        <f>シート①入力画面!CS34</f>
        <v>近藤静</v>
      </c>
      <c r="D27" s="547" t="e">
        <f>IF(シート①入力画面!CU34="","",シート①入力画面!CU34)</f>
        <v>#VALUE!</v>
      </c>
    </row>
    <row r="28" spans="3:13" x14ac:dyDescent="0.15">
      <c r="C28" s="107" t="str">
        <f>シート①入力画面!CS35</f>
        <v>近藤裕</v>
      </c>
      <c r="D28" s="547" t="e">
        <f>IF(シート①入力画面!CU35="","",シート①入力画面!CU35)</f>
        <v>#VALUE!</v>
      </c>
    </row>
    <row r="29" spans="3:13" x14ac:dyDescent="0.15">
      <c r="C29" s="107" t="str">
        <f>シート①入力画面!CS36</f>
        <v>坂本</v>
      </c>
      <c r="D29" s="547" t="e">
        <f>IF(シート①入力画面!CU36="","",シート①入力画面!CU36)</f>
        <v>#VALUE!</v>
      </c>
    </row>
    <row r="30" spans="3:13" x14ac:dyDescent="0.15">
      <c r="C30" s="107" t="str">
        <f>シート①入力画面!CS37</f>
        <v>佐藤清</v>
      </c>
      <c r="D30" s="547" t="e">
        <f>IF(シート①入力画面!CU37="","",シート①入力画面!CU37)</f>
        <v>#VALUE!</v>
      </c>
    </row>
    <row r="31" spans="3:13" x14ac:dyDescent="0.15">
      <c r="C31" s="107" t="str">
        <f>シート①入力画面!CS38</f>
        <v>里中</v>
      </c>
      <c r="D31" s="547" t="e">
        <f>IF(シート①入力画面!CU38="","",シート①入力画面!CU38)</f>
        <v>#VALUE!</v>
      </c>
    </row>
    <row r="32" spans="3:13" x14ac:dyDescent="0.15">
      <c r="C32" s="107" t="str">
        <f>シート①入力画面!CS39</f>
        <v>佐土原</v>
      </c>
      <c r="D32" s="547" t="e">
        <f>IF(シート①入力画面!CU39="","",シート①入力画面!CU39)</f>
        <v>#VALUE!</v>
      </c>
    </row>
    <row r="33" spans="3:4" x14ac:dyDescent="0.15">
      <c r="C33" s="107" t="str">
        <f>シート①入力画面!CS40</f>
        <v>塩崎</v>
      </c>
      <c r="D33" s="547" t="e">
        <f>IF(シート①入力画面!CU40="","",シート①入力画面!CU40)</f>
        <v>#VALUE!</v>
      </c>
    </row>
    <row r="34" spans="3:4" x14ac:dyDescent="0.15">
      <c r="C34" s="107" t="str">
        <f>シート①入力画面!CS41</f>
        <v>鈴木</v>
      </c>
      <c r="D34" s="547" t="e">
        <f>IF(シート①入力画面!CU41="","",シート①入力画面!CU41)</f>
        <v>#VALUE!</v>
      </c>
    </row>
    <row r="35" spans="3:4" x14ac:dyDescent="0.15">
      <c r="C35" s="107" t="str">
        <f>シート①入力画面!CS42</f>
        <v>高木</v>
      </c>
      <c r="D35" s="547" t="e">
        <f>IF(シート①入力画面!CU42="","",シート①入力画面!CU42)</f>
        <v>#VALUE!</v>
      </c>
    </row>
    <row r="36" spans="3:4" x14ac:dyDescent="0.15">
      <c r="C36" s="107" t="str">
        <f>シート①入力画面!CS43</f>
        <v>田中</v>
      </c>
      <c r="D36" s="547" t="e">
        <f>IF(シート①入力画面!CU43="","",シート①入力画面!CU43)</f>
        <v>#VALUE!</v>
      </c>
    </row>
    <row r="37" spans="3:4" x14ac:dyDescent="0.15">
      <c r="C37" s="107" t="str">
        <f>シート①入力画面!CS44</f>
        <v>塚越</v>
      </c>
      <c r="D37" s="547" t="e">
        <f>IF(シート①入力画面!CU44="","",シート①入力画面!CU44)</f>
        <v>#VALUE!</v>
      </c>
    </row>
    <row r="38" spans="3:4" x14ac:dyDescent="0.15">
      <c r="C38" s="107" t="str">
        <f>シート①入力画面!CS45</f>
        <v>次橋</v>
      </c>
      <c r="D38" s="547" t="e">
        <f>IF(シート①入力画面!CU45="","",シート①入力画面!CU45)</f>
        <v>#VALUE!</v>
      </c>
    </row>
    <row r="39" spans="3:4" x14ac:dyDescent="0.15">
      <c r="C39" s="107" t="str">
        <f>シート①入力画面!CS46</f>
        <v>坪原</v>
      </c>
      <c r="D39" s="547" t="e">
        <f>IF(シート①入力画面!CU46="","",シート①入力画面!CU46)</f>
        <v>#VALUE!</v>
      </c>
    </row>
    <row r="40" spans="3:4" x14ac:dyDescent="0.15">
      <c r="C40" s="107" t="str">
        <f>シート①入力画面!CS47</f>
        <v>豊島</v>
      </c>
      <c r="D40" s="547" t="e">
        <f>IF(シート①入力画面!CU47="","",シート①入力画面!CU47)</f>
        <v>#VALUE!</v>
      </c>
    </row>
    <row r="41" spans="3:4" x14ac:dyDescent="0.15">
      <c r="C41" s="107" t="str">
        <f>シート①入力画面!CS48</f>
        <v>中川</v>
      </c>
      <c r="D41" s="547" t="e">
        <f>IF(シート①入力画面!CU48="","",シート①入力画面!CU48)</f>
        <v>#VALUE!</v>
      </c>
    </row>
    <row r="42" spans="3:4" x14ac:dyDescent="0.15">
      <c r="C42" s="107" t="str">
        <f>シート①入力画面!CS49</f>
        <v>中山</v>
      </c>
      <c r="D42" s="547" t="e">
        <f>IF(シート①入力画面!CU49="","",シート①入力画面!CU49)</f>
        <v>#VALUE!</v>
      </c>
    </row>
    <row r="43" spans="3:4" x14ac:dyDescent="0.15">
      <c r="C43" s="107" t="str">
        <f>シート①入力画面!CS50</f>
        <v>林</v>
      </c>
      <c r="D43" s="547" t="e">
        <f>IF(シート①入力画面!CU50="","",シート①入力画面!CU50)</f>
        <v>#VALUE!</v>
      </c>
    </row>
    <row r="44" spans="3:4" x14ac:dyDescent="0.15">
      <c r="C44" s="107" t="str">
        <f>シート①入力画面!CS51</f>
        <v>福山</v>
      </c>
      <c r="D44" s="547" t="e">
        <f>IF(シート①入力画面!CU51="","",シート①入力画面!CU51)</f>
        <v>#VALUE!</v>
      </c>
    </row>
    <row r="45" spans="3:4" x14ac:dyDescent="0.15">
      <c r="C45" s="107" t="str">
        <f>シート①入力画面!CS52</f>
        <v>藤田</v>
      </c>
      <c r="D45" s="547" t="e">
        <f>IF(シート①入力画面!CU52="","",シート①入力画面!CU52)</f>
        <v>#VALUE!</v>
      </c>
    </row>
    <row r="46" spans="3:4" x14ac:dyDescent="0.15">
      <c r="C46" s="107" t="str">
        <f>シート①入力画面!CS53</f>
        <v>古海</v>
      </c>
      <c r="D46" s="547" t="e">
        <f>IF(シート①入力画面!CU53="","",シート①入力画面!CU53)</f>
        <v>#VALUE!</v>
      </c>
    </row>
    <row r="47" spans="3:4" x14ac:dyDescent="0.15">
      <c r="C47" s="107" t="str">
        <f>シート①入力画面!CS54</f>
        <v>松岡</v>
      </c>
      <c r="D47" s="547" t="e">
        <f>IF(シート①入力画面!CU54="","",シート①入力画面!CU54)</f>
        <v>#VALUE!</v>
      </c>
    </row>
    <row r="48" spans="3:4" x14ac:dyDescent="0.15">
      <c r="C48" s="107" t="str">
        <f>シート①入力画面!CS55</f>
        <v>豆田</v>
      </c>
      <c r="D48" s="547" t="e">
        <f>IF(シート①入力画面!CU55="","",シート①入力画面!CU55)</f>
        <v>#VALUE!</v>
      </c>
    </row>
    <row r="49" spans="3:4" x14ac:dyDescent="0.15">
      <c r="C49" s="107" t="str">
        <f>シート①入力画面!CS56</f>
        <v>三井</v>
      </c>
      <c r="D49" s="547" t="e">
        <f>IF(シート①入力画面!CU56="","",シート①入力画面!CU56)</f>
        <v>#VALUE!</v>
      </c>
    </row>
    <row r="50" spans="3:4" x14ac:dyDescent="0.15">
      <c r="C50" s="107" t="str">
        <f>シート①入力画面!CS57</f>
        <v>南村</v>
      </c>
      <c r="D50" s="547" t="e">
        <f>IF(シート①入力画面!CU57="","",シート①入力画面!CU57)</f>
        <v>#VALUE!</v>
      </c>
    </row>
    <row r="51" spans="3:4" x14ac:dyDescent="0.15">
      <c r="C51" s="107" t="str">
        <f>シート①入力画面!CS58</f>
        <v>宮田</v>
      </c>
      <c r="D51" s="547" t="e">
        <f>IF(シート①入力画面!CU58="","",シート①入力画面!CU58)</f>
        <v>#VALUE!</v>
      </c>
    </row>
    <row r="52" spans="3:4" x14ac:dyDescent="0.15">
      <c r="C52" s="107" t="str">
        <f>シート①入力画面!CS59</f>
        <v>村上</v>
      </c>
      <c r="D52" s="547" t="e">
        <f>IF(シート①入力画面!CU59="","",シート①入力画面!CU59)</f>
        <v>#VALUE!</v>
      </c>
    </row>
    <row r="53" spans="3:4" x14ac:dyDescent="0.15">
      <c r="C53" s="107" t="str">
        <f>シート①入力画面!CS60</f>
        <v>森</v>
      </c>
      <c r="D53" s="547" t="e">
        <f>IF(シート①入力画面!CU60="","",シート①入力画面!CU60)</f>
        <v>#VALUE!</v>
      </c>
    </row>
    <row r="54" spans="3:4" x14ac:dyDescent="0.15">
      <c r="C54" s="107" t="str">
        <f>シート①入力画面!CS61</f>
        <v>山中</v>
      </c>
      <c r="D54" s="547" t="e">
        <f>IF(シート①入力画面!CU61="","",シート①入力画面!CU61)</f>
        <v>#VALUE!</v>
      </c>
    </row>
    <row r="55" spans="3:4" x14ac:dyDescent="0.15">
      <c r="C55" s="107" t="str">
        <f>シート①入力画面!CS62</f>
        <v>湯浅</v>
      </c>
      <c r="D55" s="547" t="e">
        <f>IF(シート①入力画面!CU62="","",シート①入力画面!CU62)</f>
        <v>#VALUE!</v>
      </c>
    </row>
    <row r="56" spans="3:4" x14ac:dyDescent="0.15">
      <c r="C56" s="107" t="str">
        <f>シート①入力画面!CS63</f>
        <v>横山</v>
      </c>
      <c r="D56" s="547" t="e">
        <f>IF(シート①入力画面!CU63="","",シート①入力画面!CU63)</f>
        <v>#VALUE!</v>
      </c>
    </row>
    <row r="57" spans="3:4" x14ac:dyDescent="0.15">
      <c r="C57" s="107" t="str">
        <f>シート①入力画面!CS64</f>
        <v>吉澤</v>
      </c>
      <c r="D57" s="547" t="e">
        <f>IF(シート①入力画面!CU64="","",シート①入力画面!CU64)</f>
        <v>#VALUE!</v>
      </c>
    </row>
    <row r="58" spans="3:4" x14ac:dyDescent="0.15">
      <c r="C58" s="107" t="str">
        <f>シート①入力画面!CS65</f>
        <v>吉田</v>
      </c>
      <c r="D58" s="547" t="e">
        <f>IF(シート①入力画面!CU65="","",シート①入力画面!CU65)</f>
        <v>#VALUE!</v>
      </c>
    </row>
    <row r="59" spans="3:4" x14ac:dyDescent="0.15">
      <c r="C59" s="107" t="str">
        <f>シート①入力画面!CS66</f>
        <v>渡辺昭</v>
      </c>
      <c r="D59" s="547" t="e">
        <f>IF(シート①入力画面!CU66="","",シート①入力画面!CU66)</f>
        <v>#VALUE!</v>
      </c>
    </row>
    <row r="60" spans="3:4" x14ac:dyDescent="0.15">
      <c r="C60" s="107" t="str">
        <f>シート①入力画面!CS67</f>
        <v>渡辺政</v>
      </c>
      <c r="D60" s="547" t="e">
        <f>IF(シート①入力画面!CU67="","",シート①入力画面!CU67)</f>
        <v>#VALUE!</v>
      </c>
    </row>
    <row r="61" spans="3:4" x14ac:dyDescent="0.15">
      <c r="C61" s="107" t="str">
        <f>シート①入力画面!CS68</f>
        <v>村中</v>
      </c>
      <c r="D61" s="547" t="e">
        <f>IF(シート①入力画面!CU68="","",シート①入力画面!CU68)</f>
        <v>#VALUE!</v>
      </c>
    </row>
    <row r="62" spans="3:4" x14ac:dyDescent="0.15">
      <c r="C62" s="107" t="str">
        <f>シート①入力画面!CS69</f>
        <v>奈良</v>
      </c>
      <c r="D62" s="547" t="e">
        <f>IF(シート①入力画面!CU69="","",シート①入力画面!CU69)</f>
        <v>#VALUE!</v>
      </c>
    </row>
    <row r="63" spans="3:4" x14ac:dyDescent="0.15">
      <c r="C63" s="107" t="str">
        <f>シート①入力画面!CS70</f>
        <v/>
      </c>
      <c r="D63" s="547" t="e">
        <f>IF(シート①入力画面!CU70="","",シート①入力画面!CU70)</f>
        <v>#VALUE!</v>
      </c>
    </row>
    <row r="64" spans="3:4" x14ac:dyDescent="0.15">
      <c r="C64" s="107" t="str">
        <f>シート①入力画面!CS71</f>
        <v/>
      </c>
      <c r="D64" s="547" t="e">
        <f>IF(シート①入力画面!CU71="","",シート①入力画面!CU71)</f>
        <v>#VALUE!</v>
      </c>
    </row>
    <row r="65" spans="3:5" x14ac:dyDescent="0.15">
      <c r="C65" s="107" t="str">
        <f>シート①入力画面!CS72</f>
        <v/>
      </c>
      <c r="D65" s="547" t="e">
        <f>IF(シート①入力画面!CU72="","",シート①入力画面!CU72)</f>
        <v>#VALUE!</v>
      </c>
    </row>
    <row r="66" spans="3:5" x14ac:dyDescent="0.15">
      <c r="C66" s="107" t="str">
        <f>シート①入力画面!CS73</f>
        <v/>
      </c>
      <c r="D66" s="547" t="e">
        <f>IF(シート①入力画面!CU73="","",シート①入力画面!CU73)</f>
        <v>#VALUE!</v>
      </c>
    </row>
    <row r="67" spans="3:5" x14ac:dyDescent="0.15">
      <c r="C67" s="107" t="str">
        <f>シート①入力画面!CS74</f>
        <v/>
      </c>
      <c r="D67" s="547" t="e">
        <f>IF(シート①入力画面!CU74="","",シート①入力画面!CU74)</f>
        <v>#VALUE!</v>
      </c>
    </row>
    <row r="68" spans="3:5" x14ac:dyDescent="0.15">
      <c r="C68" s="107" t="str">
        <f>シート①入力画面!CS75</f>
        <v/>
      </c>
      <c r="D68" s="547" t="e">
        <f>IF(シート①入力画面!CU75="","",シート①入力画面!CU75)</f>
        <v>#VALUE!</v>
      </c>
    </row>
    <row r="69" spans="3:5" x14ac:dyDescent="0.15">
      <c r="C69" s="107" t="str">
        <f>シート①入力画面!CS76</f>
        <v/>
      </c>
      <c r="D69" s="547" t="e">
        <f>IF(シート①入力画面!CU76="","",シート①入力画面!CU76)</f>
        <v>#VALUE!</v>
      </c>
    </row>
    <row r="75" spans="3:5" x14ac:dyDescent="0.15">
      <c r="C75" s="443" t="s">
        <v>270</v>
      </c>
      <c r="D75" s="107">
        <f>IF(シート⑤成績表!R3&lt;&gt;0,IF(シート⑤成績表!R3="",シート①入力画面!Q20,シート⑤成績表!R3),シート①入力画面!Q20)</f>
        <v>0</v>
      </c>
    </row>
    <row r="76" spans="3:5" x14ac:dyDescent="0.15">
      <c r="C76" s="443" t="str">
        <f>シート①入力画面!CO66</f>
        <v>参加人数＝</v>
      </c>
      <c r="D76" s="107" t="str">
        <f>シート①入力画面!CP66</f>
        <v>0 名</v>
      </c>
    </row>
    <row r="77" spans="3:5" x14ac:dyDescent="0.15">
      <c r="C77" s="443" t="str">
        <f>シート①入力画面!CO67</f>
        <v>スコア記入人数＝</v>
      </c>
      <c r="D77" s="107" t="str">
        <f>シート①入力画面!CP67</f>
        <v>0 名</v>
      </c>
    </row>
    <row r="78" spans="3:5" x14ac:dyDescent="0.15">
      <c r="C78" s="443" t="s">
        <v>342</v>
      </c>
      <c r="D78" s="397" t="e">
        <f>シート①入力画面!CP68</f>
        <v>#VALUE!</v>
      </c>
      <c r="E78" t="s">
        <v>341</v>
      </c>
    </row>
    <row r="79" spans="3:5" x14ac:dyDescent="0.15">
      <c r="C79" s="237" t="s">
        <v>340</v>
      </c>
      <c r="D79" s="107">
        <f>シート⑤成績表!X76</f>
        <v>36917</v>
      </c>
    </row>
    <row r="80" spans="3:5" x14ac:dyDescent="0.15">
      <c r="C80" s="107" t="s">
        <v>339</v>
      </c>
      <c r="D80" s="107">
        <f>シート①入力画面!Q21</f>
        <v>0</v>
      </c>
    </row>
    <row r="81" spans="3:6" x14ac:dyDescent="0.15">
      <c r="C81" s="107" t="s">
        <v>338</v>
      </c>
      <c r="D81" s="107">
        <f>シート①入力画面!Q22</f>
        <v>0</v>
      </c>
    </row>
    <row r="83" spans="3:6" x14ac:dyDescent="0.15">
      <c r="C83" s="107" t="s">
        <v>606</v>
      </c>
      <c r="D83" s="107" t="e">
        <f>シート①入力画面!$CP$6</f>
        <v>#VALUE!</v>
      </c>
      <c r="E83">
        <v>1</v>
      </c>
      <c r="F83" t="s">
        <v>607</v>
      </c>
    </row>
    <row r="84" spans="3:6" x14ac:dyDescent="0.15">
      <c r="E84">
        <v>2</v>
      </c>
      <c r="F84" t="s">
        <v>608</v>
      </c>
    </row>
    <row r="85" spans="3:6" x14ac:dyDescent="0.15">
      <c r="E85">
        <v>3</v>
      </c>
      <c r="F85" t="s">
        <v>609</v>
      </c>
    </row>
    <row r="86" spans="3:6" x14ac:dyDescent="0.15">
      <c r="E86">
        <v>4</v>
      </c>
      <c r="F86" t="s">
        <v>610</v>
      </c>
    </row>
    <row r="87" spans="3:6" x14ac:dyDescent="0.15">
      <c r="E87">
        <v>5</v>
      </c>
      <c r="F87" t="s">
        <v>611</v>
      </c>
    </row>
  </sheetData>
  <sheetProtection password="EBCD" sheet="1" objects="1" scenarios="1" selectLockedCells="1" selectUnlockedCells="1"/>
  <phoneticPr fontId="1"/>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67"/>
  <sheetViews>
    <sheetView topLeftCell="A21" workbookViewId="0">
      <selection activeCell="B5" sqref="B5:H67"/>
    </sheetView>
  </sheetViews>
  <sheetFormatPr defaultRowHeight="13.5" x14ac:dyDescent="0.15"/>
  <cols>
    <col min="1" max="1" width="9" customWidth="1"/>
    <col min="2" max="2" width="4.125" customWidth="1"/>
    <col min="3" max="3" width="6" customWidth="1"/>
    <col min="4" max="4" width="9" customWidth="1"/>
    <col min="5" max="5" width="12.125" customWidth="1"/>
    <col min="6" max="6" width="14.375" customWidth="1"/>
    <col min="7" max="7" width="10.75" customWidth="1"/>
    <col min="8" max="9" width="9" customWidth="1"/>
  </cols>
  <sheetData>
    <row r="1" spans="1:9" x14ac:dyDescent="0.15">
      <c r="A1" s="348"/>
      <c r="C1" t="s">
        <v>348</v>
      </c>
      <c r="I1" s="348"/>
    </row>
    <row r="3" spans="1:9" x14ac:dyDescent="0.15">
      <c r="B3" s="107" t="s">
        <v>689</v>
      </c>
      <c r="C3" s="500" t="s">
        <v>690</v>
      </c>
      <c r="D3" s="501" t="s">
        <v>33</v>
      </c>
      <c r="E3" s="501" t="s">
        <v>32</v>
      </c>
      <c r="F3" s="206" t="s">
        <v>691</v>
      </c>
      <c r="G3" s="502" t="s">
        <v>68</v>
      </c>
      <c r="H3" s="503" t="s">
        <v>69</v>
      </c>
    </row>
    <row r="4" spans="1:9" x14ac:dyDescent="0.15">
      <c r="B4" s="107"/>
      <c r="C4" s="196">
        <v>0</v>
      </c>
      <c r="D4" s="196" t="s">
        <v>692</v>
      </c>
      <c r="E4" s="196"/>
      <c r="F4" s="196"/>
      <c r="G4" s="196"/>
      <c r="H4" s="196">
        <v>1</v>
      </c>
    </row>
    <row r="5" spans="1:9" x14ac:dyDescent="0.15">
      <c r="B5" s="107">
        <v>77</v>
      </c>
      <c r="C5" s="196">
        <v>1</v>
      </c>
      <c r="D5" s="117" t="s">
        <v>731</v>
      </c>
      <c r="E5" s="124" t="s">
        <v>732</v>
      </c>
      <c r="F5" s="129" t="s">
        <v>694</v>
      </c>
      <c r="G5" s="496">
        <v>19214</v>
      </c>
      <c r="H5" s="124">
        <v>26219</v>
      </c>
    </row>
    <row r="6" spans="1:9" x14ac:dyDescent="0.15">
      <c r="B6" s="107">
        <v>78</v>
      </c>
      <c r="C6" s="196">
        <v>2</v>
      </c>
      <c r="D6" s="117" t="s">
        <v>733</v>
      </c>
      <c r="E6" s="124" t="s">
        <v>734</v>
      </c>
      <c r="F6" s="129" t="s">
        <v>699</v>
      </c>
      <c r="G6" s="496">
        <v>16864</v>
      </c>
      <c r="H6" s="124">
        <v>28569</v>
      </c>
    </row>
    <row r="7" spans="1:9" x14ac:dyDescent="0.15">
      <c r="B7" s="107">
        <v>30</v>
      </c>
      <c r="C7" s="196">
        <v>3</v>
      </c>
      <c r="D7" s="117" t="s">
        <v>735</v>
      </c>
      <c r="E7" s="124" t="s">
        <v>736</v>
      </c>
      <c r="F7" s="129" t="s">
        <v>424</v>
      </c>
      <c r="G7" s="496">
        <v>16799</v>
      </c>
      <c r="H7" s="124">
        <v>28634</v>
      </c>
    </row>
    <row r="8" spans="1:9" x14ac:dyDescent="0.15">
      <c r="B8" s="107">
        <v>32</v>
      </c>
      <c r="C8" s="196">
        <v>4</v>
      </c>
      <c r="D8" s="117" t="s">
        <v>737</v>
      </c>
      <c r="E8" s="124" t="s">
        <v>738</v>
      </c>
      <c r="F8" s="129" t="s">
        <v>425</v>
      </c>
      <c r="G8" s="496">
        <v>16474</v>
      </c>
      <c r="H8" s="124">
        <v>28959</v>
      </c>
    </row>
    <row r="9" spans="1:9" x14ac:dyDescent="0.15">
      <c r="B9" s="107">
        <v>57</v>
      </c>
      <c r="C9" s="196">
        <v>5</v>
      </c>
      <c r="D9" s="117" t="s">
        <v>739</v>
      </c>
      <c r="E9" s="124" t="s">
        <v>653</v>
      </c>
      <c r="F9" s="129" t="s">
        <v>426</v>
      </c>
      <c r="G9" s="496">
        <v>18102</v>
      </c>
      <c r="H9" s="124">
        <v>27331</v>
      </c>
    </row>
    <row r="10" spans="1:9" x14ac:dyDescent="0.15">
      <c r="B10" s="107">
        <v>33</v>
      </c>
      <c r="C10" s="196">
        <v>6</v>
      </c>
      <c r="D10" s="117" t="s">
        <v>740</v>
      </c>
      <c r="E10" s="124" t="s">
        <v>741</v>
      </c>
      <c r="F10" s="129" t="s">
        <v>427</v>
      </c>
      <c r="G10" s="496">
        <v>17200</v>
      </c>
      <c r="H10" s="124">
        <v>28233</v>
      </c>
    </row>
    <row r="11" spans="1:9" x14ac:dyDescent="0.15">
      <c r="B11" s="107">
        <v>44</v>
      </c>
      <c r="C11" s="196">
        <v>7</v>
      </c>
      <c r="D11" s="117" t="s">
        <v>742</v>
      </c>
      <c r="E11" s="124" t="s">
        <v>743</v>
      </c>
      <c r="F11" s="129" t="s">
        <v>428</v>
      </c>
      <c r="G11" s="496">
        <v>17866</v>
      </c>
      <c r="H11" s="124">
        <v>27567</v>
      </c>
    </row>
    <row r="12" spans="1:9" x14ac:dyDescent="0.15">
      <c r="B12" s="107">
        <v>86</v>
      </c>
      <c r="C12" s="196">
        <v>8</v>
      </c>
      <c r="D12" s="117" t="s">
        <v>831</v>
      </c>
      <c r="E12" s="124" t="s">
        <v>837</v>
      </c>
      <c r="F12" s="129" t="s">
        <v>832</v>
      </c>
      <c r="G12" s="496">
        <v>20378</v>
      </c>
      <c r="H12" s="124">
        <v>25055</v>
      </c>
    </row>
    <row r="13" spans="1:9" x14ac:dyDescent="0.15">
      <c r="B13" s="107">
        <v>35</v>
      </c>
      <c r="C13" s="196">
        <v>9</v>
      </c>
      <c r="D13" s="117" t="s">
        <v>744</v>
      </c>
      <c r="E13" s="124" t="s">
        <v>745</v>
      </c>
      <c r="F13" s="129" t="s">
        <v>429</v>
      </c>
      <c r="G13" s="496">
        <v>15992</v>
      </c>
      <c r="H13" s="124">
        <v>29441</v>
      </c>
    </row>
    <row r="14" spans="1:9" x14ac:dyDescent="0.15">
      <c r="B14" s="107">
        <v>13</v>
      </c>
      <c r="C14" s="196">
        <v>10</v>
      </c>
      <c r="D14" s="117" t="s">
        <v>746</v>
      </c>
      <c r="E14" s="124" t="s">
        <v>747</v>
      </c>
      <c r="F14" s="129" t="s">
        <v>430</v>
      </c>
      <c r="G14" s="496">
        <v>15393</v>
      </c>
      <c r="H14" s="124">
        <v>30040</v>
      </c>
    </row>
    <row r="15" spans="1:9" x14ac:dyDescent="0.15">
      <c r="B15" s="107">
        <v>68</v>
      </c>
      <c r="C15" s="196">
        <v>11</v>
      </c>
      <c r="D15" s="117" t="s">
        <v>748</v>
      </c>
      <c r="E15" s="124" t="s">
        <v>749</v>
      </c>
      <c r="F15" s="129" t="s">
        <v>431</v>
      </c>
      <c r="G15" s="496">
        <v>18057</v>
      </c>
      <c r="H15" s="124">
        <v>27376</v>
      </c>
    </row>
    <row r="16" spans="1:9" x14ac:dyDescent="0.15">
      <c r="B16" s="107">
        <v>59</v>
      </c>
      <c r="C16" s="196">
        <v>12</v>
      </c>
      <c r="D16" s="117" t="s">
        <v>750</v>
      </c>
      <c r="E16" s="124" t="s">
        <v>751</v>
      </c>
      <c r="F16" s="129" t="s">
        <v>432</v>
      </c>
      <c r="G16" s="496">
        <v>17538</v>
      </c>
      <c r="H16" s="124">
        <v>27895</v>
      </c>
    </row>
    <row r="17" spans="2:8" x14ac:dyDescent="0.15">
      <c r="B17" s="107">
        <v>22</v>
      </c>
      <c r="C17" s="196">
        <v>13</v>
      </c>
      <c r="D17" s="117" t="s">
        <v>752</v>
      </c>
      <c r="E17" s="124" t="s">
        <v>753</v>
      </c>
      <c r="F17" s="129" t="s">
        <v>433</v>
      </c>
      <c r="G17" s="496">
        <v>16703</v>
      </c>
      <c r="H17" s="124">
        <v>28730</v>
      </c>
    </row>
    <row r="18" spans="2:8" x14ac:dyDescent="0.15">
      <c r="B18" s="107">
        <v>60</v>
      </c>
      <c r="C18" s="196">
        <v>14</v>
      </c>
      <c r="D18" s="117" t="s">
        <v>754</v>
      </c>
      <c r="E18" s="124" t="s">
        <v>755</v>
      </c>
      <c r="F18" s="129" t="s">
        <v>434</v>
      </c>
      <c r="G18" s="496">
        <v>19098</v>
      </c>
      <c r="H18" s="124">
        <v>26335</v>
      </c>
    </row>
    <row r="19" spans="2:8" x14ac:dyDescent="0.15">
      <c r="B19" s="107">
        <v>37</v>
      </c>
      <c r="C19" s="196">
        <v>15</v>
      </c>
      <c r="D19" s="117" t="s">
        <v>756</v>
      </c>
      <c r="E19" s="124" t="s">
        <v>757</v>
      </c>
      <c r="F19" s="129" t="s">
        <v>435</v>
      </c>
      <c r="G19" s="496">
        <v>18301</v>
      </c>
      <c r="H19" s="124">
        <v>27132</v>
      </c>
    </row>
    <row r="20" spans="2:8" x14ac:dyDescent="0.15">
      <c r="B20" s="107">
        <v>42</v>
      </c>
      <c r="C20" s="196">
        <v>16</v>
      </c>
      <c r="D20" s="117" t="s">
        <v>758</v>
      </c>
      <c r="E20" s="124" t="s">
        <v>759</v>
      </c>
      <c r="F20" s="129" t="s">
        <v>436</v>
      </c>
      <c r="G20" s="496">
        <v>18426</v>
      </c>
      <c r="H20" s="124">
        <v>27007</v>
      </c>
    </row>
    <row r="21" spans="2:8" x14ac:dyDescent="0.15">
      <c r="B21" s="107">
        <v>45</v>
      </c>
      <c r="C21" s="196">
        <v>17</v>
      </c>
      <c r="D21" s="117" t="s">
        <v>760</v>
      </c>
      <c r="E21" s="124" t="s">
        <v>654</v>
      </c>
      <c r="F21" s="129" t="s">
        <v>437</v>
      </c>
      <c r="G21" s="496">
        <v>17285</v>
      </c>
      <c r="H21" s="124">
        <v>28148</v>
      </c>
    </row>
    <row r="22" spans="2:8" x14ac:dyDescent="0.15">
      <c r="B22" s="107">
        <v>74</v>
      </c>
      <c r="C22" s="196">
        <v>18</v>
      </c>
      <c r="D22" s="117" t="s">
        <v>761</v>
      </c>
      <c r="E22" s="124" t="s">
        <v>762</v>
      </c>
      <c r="F22" s="129" t="s">
        <v>626</v>
      </c>
      <c r="G22" s="496">
        <v>15707</v>
      </c>
      <c r="H22" s="124">
        <v>29726</v>
      </c>
    </row>
    <row r="23" spans="2:8" x14ac:dyDescent="0.15">
      <c r="B23" s="107">
        <v>18</v>
      </c>
      <c r="C23" s="196">
        <v>19</v>
      </c>
      <c r="D23" s="117" t="s">
        <v>763</v>
      </c>
      <c r="E23" s="124" t="s">
        <v>764</v>
      </c>
      <c r="F23" s="129" t="s">
        <v>438</v>
      </c>
      <c r="G23" s="496">
        <v>16358</v>
      </c>
      <c r="H23" s="124">
        <v>29075</v>
      </c>
    </row>
    <row r="24" spans="2:8" x14ac:dyDescent="0.15">
      <c r="B24" s="107">
        <v>63</v>
      </c>
      <c r="C24" s="196">
        <v>20</v>
      </c>
      <c r="D24" s="117" t="s">
        <v>765</v>
      </c>
      <c r="E24" s="124" t="s">
        <v>766</v>
      </c>
      <c r="F24" s="129" t="s">
        <v>646</v>
      </c>
      <c r="G24" s="496">
        <v>17377</v>
      </c>
      <c r="H24" s="124">
        <v>28056</v>
      </c>
    </row>
    <row r="25" spans="2:8" x14ac:dyDescent="0.15">
      <c r="B25" s="107">
        <v>27</v>
      </c>
      <c r="C25" s="196">
        <v>21</v>
      </c>
      <c r="D25" s="117" t="s">
        <v>767</v>
      </c>
      <c r="E25" s="124" t="s">
        <v>768</v>
      </c>
      <c r="F25" s="129" t="s">
        <v>439</v>
      </c>
      <c r="G25" s="496">
        <v>16771</v>
      </c>
      <c r="H25" s="124">
        <v>28662</v>
      </c>
    </row>
    <row r="26" spans="2:8" x14ac:dyDescent="0.15">
      <c r="B26" s="107">
        <v>87</v>
      </c>
      <c r="C26" s="196">
        <v>22</v>
      </c>
      <c r="D26" s="117" t="s">
        <v>833</v>
      </c>
      <c r="E26" s="124" t="s">
        <v>838</v>
      </c>
      <c r="F26" s="129" t="s">
        <v>834</v>
      </c>
      <c r="G26" s="496">
        <v>20669</v>
      </c>
      <c r="H26" s="124">
        <v>24764</v>
      </c>
    </row>
    <row r="27" spans="2:8" x14ac:dyDescent="0.15">
      <c r="B27" s="107">
        <v>64</v>
      </c>
      <c r="C27" s="196">
        <v>23</v>
      </c>
      <c r="D27" s="117" t="s">
        <v>769</v>
      </c>
      <c r="E27" s="124" t="s">
        <v>770</v>
      </c>
      <c r="F27" s="129" t="s">
        <v>720</v>
      </c>
      <c r="G27" s="496">
        <v>18502</v>
      </c>
      <c r="H27" s="124">
        <v>26931</v>
      </c>
    </row>
    <row r="28" spans="2:8" x14ac:dyDescent="0.15">
      <c r="B28" s="107">
        <v>25</v>
      </c>
      <c r="C28" s="196">
        <v>24</v>
      </c>
      <c r="D28" s="117" t="s">
        <v>771</v>
      </c>
      <c r="E28" s="124" t="s">
        <v>772</v>
      </c>
      <c r="F28" s="129" t="s">
        <v>440</v>
      </c>
      <c r="G28" s="496">
        <v>16849</v>
      </c>
      <c r="H28" s="124">
        <v>28584</v>
      </c>
    </row>
    <row r="29" spans="2:8" x14ac:dyDescent="0.15">
      <c r="B29" s="107">
        <v>34</v>
      </c>
      <c r="C29" s="196">
        <v>25</v>
      </c>
      <c r="D29" s="117" t="s">
        <v>773</v>
      </c>
      <c r="E29" s="124" t="s">
        <v>774</v>
      </c>
      <c r="F29" s="129" t="s">
        <v>441</v>
      </c>
      <c r="G29" s="496">
        <v>14877</v>
      </c>
      <c r="H29" s="124">
        <v>30556</v>
      </c>
    </row>
    <row r="30" spans="2:8" x14ac:dyDescent="0.15">
      <c r="B30" s="107">
        <v>54</v>
      </c>
      <c r="C30" s="196">
        <v>26</v>
      </c>
      <c r="D30" s="117" t="s">
        <v>775</v>
      </c>
      <c r="E30" s="124" t="s">
        <v>776</v>
      </c>
      <c r="F30" s="129" t="s">
        <v>442</v>
      </c>
      <c r="G30" s="496">
        <v>19374</v>
      </c>
      <c r="H30" s="124">
        <v>26059</v>
      </c>
    </row>
    <row r="31" spans="2:8" x14ac:dyDescent="0.15">
      <c r="B31" s="107">
        <v>75</v>
      </c>
      <c r="C31" s="196">
        <v>27</v>
      </c>
      <c r="D31" s="117" t="s">
        <v>777</v>
      </c>
      <c r="E31" s="124" t="s">
        <v>655</v>
      </c>
      <c r="F31" s="129" t="s">
        <v>648</v>
      </c>
      <c r="G31" s="496">
        <v>18664</v>
      </c>
      <c r="H31" s="124">
        <v>26769</v>
      </c>
    </row>
    <row r="32" spans="2:8" x14ac:dyDescent="0.15">
      <c r="B32" s="107">
        <v>72</v>
      </c>
      <c r="C32" s="196">
        <v>28</v>
      </c>
      <c r="D32" s="117" t="s">
        <v>778</v>
      </c>
      <c r="E32" s="124" t="s">
        <v>779</v>
      </c>
      <c r="F32" s="129" t="s">
        <v>471</v>
      </c>
      <c r="G32" s="496">
        <v>18688</v>
      </c>
      <c r="H32" s="124">
        <v>26745</v>
      </c>
    </row>
    <row r="33" spans="2:8" x14ac:dyDescent="0.15">
      <c r="B33" s="107">
        <v>50</v>
      </c>
      <c r="C33" s="196">
        <v>29</v>
      </c>
      <c r="D33" s="117" t="s">
        <v>780</v>
      </c>
      <c r="E33" s="124" t="s">
        <v>781</v>
      </c>
      <c r="F33" s="129" t="s">
        <v>443</v>
      </c>
      <c r="G33" s="496">
        <v>20268</v>
      </c>
      <c r="H33" s="124">
        <v>25165</v>
      </c>
    </row>
    <row r="34" spans="2:8" x14ac:dyDescent="0.15">
      <c r="B34" s="107">
        <v>47</v>
      </c>
      <c r="C34" s="196">
        <v>30</v>
      </c>
      <c r="D34" s="117" t="s">
        <v>782</v>
      </c>
      <c r="E34" s="124" t="s">
        <v>656</v>
      </c>
      <c r="F34" s="129" t="s">
        <v>444</v>
      </c>
      <c r="G34" s="496">
        <v>16941</v>
      </c>
      <c r="H34" s="124">
        <v>28492</v>
      </c>
    </row>
    <row r="35" spans="2:8" x14ac:dyDescent="0.15">
      <c r="B35" s="107">
        <v>52</v>
      </c>
      <c r="C35" s="196">
        <v>31</v>
      </c>
      <c r="D35" s="117" t="s">
        <v>783</v>
      </c>
      <c r="E35" s="124" t="s">
        <v>657</v>
      </c>
      <c r="F35" s="129" t="s">
        <v>445</v>
      </c>
      <c r="G35" s="496">
        <v>19361</v>
      </c>
      <c r="H35" s="124">
        <v>26072</v>
      </c>
    </row>
    <row r="36" spans="2:8" x14ac:dyDescent="0.15">
      <c r="B36" s="107">
        <v>58</v>
      </c>
      <c r="C36" s="196">
        <v>32</v>
      </c>
      <c r="D36" s="117" t="s">
        <v>784</v>
      </c>
      <c r="E36" s="124" t="s">
        <v>785</v>
      </c>
      <c r="F36" s="129" t="s">
        <v>446</v>
      </c>
      <c r="G36" s="496">
        <v>18549</v>
      </c>
      <c r="H36" s="124">
        <v>26884</v>
      </c>
    </row>
    <row r="37" spans="2:8" x14ac:dyDescent="0.15">
      <c r="B37" s="107">
        <v>84</v>
      </c>
      <c r="C37" s="196">
        <v>33</v>
      </c>
      <c r="D37" s="117" t="s">
        <v>786</v>
      </c>
      <c r="E37" s="124" t="s">
        <v>787</v>
      </c>
      <c r="F37" s="129" t="s">
        <v>721</v>
      </c>
      <c r="G37" s="496">
        <v>16838</v>
      </c>
      <c r="H37" s="124">
        <v>28595</v>
      </c>
    </row>
    <row r="38" spans="2:8" x14ac:dyDescent="0.15">
      <c r="B38" s="107">
        <v>61</v>
      </c>
      <c r="C38" s="196">
        <v>34</v>
      </c>
      <c r="D38" s="117" t="s">
        <v>788</v>
      </c>
      <c r="E38" s="124" t="s">
        <v>789</v>
      </c>
      <c r="F38" s="129" t="s">
        <v>647</v>
      </c>
      <c r="G38" s="496">
        <v>17118</v>
      </c>
      <c r="H38" s="124">
        <v>28315</v>
      </c>
    </row>
    <row r="39" spans="2:8" x14ac:dyDescent="0.15">
      <c r="B39" s="107">
        <v>26</v>
      </c>
      <c r="C39" s="196">
        <v>35</v>
      </c>
      <c r="D39" s="117" t="s">
        <v>790</v>
      </c>
      <c r="E39" s="124" t="s">
        <v>791</v>
      </c>
      <c r="F39" s="129" t="s">
        <v>447</v>
      </c>
      <c r="G39" s="496">
        <v>17787</v>
      </c>
      <c r="H39" s="124">
        <v>27646</v>
      </c>
    </row>
    <row r="40" spans="2:8" x14ac:dyDescent="0.15">
      <c r="B40" s="107">
        <v>85</v>
      </c>
      <c r="C40" s="196">
        <v>36</v>
      </c>
      <c r="D40" s="117" t="s">
        <v>829</v>
      </c>
      <c r="E40" s="124" t="s">
        <v>830</v>
      </c>
      <c r="F40" s="129" t="s">
        <v>729</v>
      </c>
      <c r="G40" s="496"/>
      <c r="H40" s="124">
        <v>45433</v>
      </c>
    </row>
    <row r="41" spans="2:8" x14ac:dyDescent="0.15">
      <c r="B41" s="107">
        <v>41</v>
      </c>
      <c r="C41" s="196">
        <v>37</v>
      </c>
      <c r="D41" s="117" t="s">
        <v>792</v>
      </c>
      <c r="E41" s="124" t="s">
        <v>793</v>
      </c>
      <c r="F41" s="129" t="s">
        <v>448</v>
      </c>
      <c r="G41" s="496">
        <v>18170</v>
      </c>
      <c r="H41" s="124">
        <v>27263</v>
      </c>
    </row>
    <row r="42" spans="2:8" x14ac:dyDescent="0.15">
      <c r="B42" s="107">
        <v>36</v>
      </c>
      <c r="C42" s="196">
        <v>38</v>
      </c>
      <c r="D42" s="117" t="s">
        <v>794</v>
      </c>
      <c r="E42" s="124" t="s">
        <v>795</v>
      </c>
      <c r="F42" s="129" t="s">
        <v>449</v>
      </c>
      <c r="G42" s="496">
        <v>17774</v>
      </c>
      <c r="H42" s="124">
        <v>27659</v>
      </c>
    </row>
    <row r="43" spans="2:8" x14ac:dyDescent="0.15">
      <c r="B43" s="107">
        <v>38</v>
      </c>
      <c r="C43" s="196">
        <v>39</v>
      </c>
      <c r="D43" s="117" t="s">
        <v>796</v>
      </c>
      <c r="E43" s="124" t="s">
        <v>797</v>
      </c>
      <c r="F43" s="129" t="s">
        <v>450</v>
      </c>
      <c r="G43" s="496">
        <v>17073</v>
      </c>
      <c r="H43" s="124">
        <v>28360</v>
      </c>
    </row>
    <row r="44" spans="2:8" x14ac:dyDescent="0.15">
      <c r="B44" s="107">
        <v>67</v>
      </c>
      <c r="C44" s="196">
        <v>40</v>
      </c>
      <c r="D44" s="117" t="s">
        <v>798</v>
      </c>
      <c r="E44" s="124" t="s">
        <v>697</v>
      </c>
      <c r="F44" s="129" t="s">
        <v>451</v>
      </c>
      <c r="G44" s="496">
        <v>15363</v>
      </c>
      <c r="H44" s="124">
        <v>30070</v>
      </c>
    </row>
    <row r="45" spans="2:8" x14ac:dyDescent="0.15">
      <c r="B45" s="107">
        <v>71</v>
      </c>
      <c r="C45" s="196">
        <v>41</v>
      </c>
      <c r="D45" s="117" t="s">
        <v>799</v>
      </c>
      <c r="E45" s="124" t="s">
        <v>800</v>
      </c>
      <c r="F45" s="129" t="s">
        <v>452</v>
      </c>
      <c r="G45" s="496">
        <v>19294</v>
      </c>
      <c r="H45" s="124">
        <v>26139</v>
      </c>
    </row>
    <row r="46" spans="2:8" x14ac:dyDescent="0.15">
      <c r="B46" s="107">
        <v>51</v>
      </c>
      <c r="C46" s="196">
        <v>42</v>
      </c>
      <c r="D46" s="117" t="s">
        <v>801</v>
      </c>
      <c r="E46" s="124" t="s">
        <v>802</v>
      </c>
      <c r="F46" s="129" t="s">
        <v>453</v>
      </c>
      <c r="G46" s="496">
        <v>17418</v>
      </c>
      <c r="H46" s="124">
        <v>28015</v>
      </c>
    </row>
    <row r="47" spans="2:8" x14ac:dyDescent="0.15">
      <c r="B47" s="107">
        <v>80</v>
      </c>
      <c r="C47" s="196">
        <v>43</v>
      </c>
      <c r="D47" s="117" t="s">
        <v>803</v>
      </c>
      <c r="E47" s="124" t="s">
        <v>804</v>
      </c>
      <c r="F47" s="129" t="s">
        <v>703</v>
      </c>
      <c r="G47" s="496">
        <v>19937</v>
      </c>
      <c r="H47" s="124">
        <v>25496</v>
      </c>
    </row>
    <row r="48" spans="2:8" x14ac:dyDescent="0.15">
      <c r="B48" s="107">
        <v>65</v>
      </c>
      <c r="C48" s="196">
        <v>44</v>
      </c>
      <c r="D48" s="117" t="s">
        <v>805</v>
      </c>
      <c r="E48" s="124" t="s">
        <v>806</v>
      </c>
      <c r="F48" s="129" t="s">
        <v>454</v>
      </c>
      <c r="G48" s="496">
        <v>17861</v>
      </c>
      <c r="H48" s="124">
        <v>27572</v>
      </c>
    </row>
    <row r="49" spans="2:8" x14ac:dyDescent="0.15">
      <c r="B49" s="107">
        <v>3</v>
      </c>
      <c r="C49" s="196">
        <v>45</v>
      </c>
      <c r="D49" s="117" t="s">
        <v>807</v>
      </c>
      <c r="E49" s="124" t="s">
        <v>808</v>
      </c>
      <c r="F49" s="129" t="s">
        <v>455</v>
      </c>
      <c r="G49" s="496">
        <v>14454</v>
      </c>
      <c r="H49" s="124">
        <v>30979</v>
      </c>
    </row>
    <row r="50" spans="2:8" x14ac:dyDescent="0.15">
      <c r="B50" s="107">
        <v>53</v>
      </c>
      <c r="C50" s="196">
        <v>46</v>
      </c>
      <c r="D50" s="117" t="s">
        <v>809</v>
      </c>
      <c r="E50" s="124" t="s">
        <v>810</v>
      </c>
      <c r="F50" s="129" t="s">
        <v>456</v>
      </c>
      <c r="G50" s="496">
        <v>18697</v>
      </c>
      <c r="H50" s="124">
        <v>26736</v>
      </c>
    </row>
    <row r="51" spans="2:8" x14ac:dyDescent="0.15">
      <c r="B51" s="107">
        <v>82</v>
      </c>
      <c r="C51" s="196">
        <v>47</v>
      </c>
      <c r="D51" s="117" t="s">
        <v>811</v>
      </c>
      <c r="E51" s="124" t="s">
        <v>707</v>
      </c>
      <c r="F51" s="129" t="s">
        <v>708</v>
      </c>
      <c r="G51" s="496">
        <v>20515</v>
      </c>
      <c r="H51" s="124">
        <v>24918</v>
      </c>
    </row>
    <row r="52" spans="2:8" x14ac:dyDescent="0.15">
      <c r="B52" s="107">
        <v>55</v>
      </c>
      <c r="C52" s="196">
        <v>48</v>
      </c>
      <c r="D52" s="117" t="s">
        <v>812</v>
      </c>
      <c r="E52" s="124" t="s">
        <v>658</v>
      </c>
      <c r="F52" s="129" t="s">
        <v>457</v>
      </c>
      <c r="G52" s="496">
        <v>15790</v>
      </c>
      <c r="H52" s="124">
        <v>29643</v>
      </c>
    </row>
    <row r="53" spans="2:8" x14ac:dyDescent="0.15">
      <c r="B53" s="107">
        <v>81</v>
      </c>
      <c r="C53" s="196">
        <v>49</v>
      </c>
      <c r="D53" s="115" t="s">
        <v>813</v>
      </c>
      <c r="E53" s="124" t="s">
        <v>814</v>
      </c>
      <c r="F53" s="129" t="s">
        <v>704</v>
      </c>
      <c r="G53" s="497">
        <v>19771</v>
      </c>
      <c r="H53" s="124">
        <v>25662</v>
      </c>
    </row>
    <row r="54" spans="2:8" x14ac:dyDescent="0.15">
      <c r="B54" s="107">
        <v>40</v>
      </c>
      <c r="C54" s="196">
        <v>50</v>
      </c>
      <c r="D54" s="117" t="s">
        <v>815</v>
      </c>
      <c r="E54" s="124" t="s">
        <v>816</v>
      </c>
      <c r="F54" s="129" t="s">
        <v>458</v>
      </c>
      <c r="G54" s="496">
        <v>17603</v>
      </c>
      <c r="H54" s="124">
        <v>27830</v>
      </c>
    </row>
    <row r="55" spans="2:8" x14ac:dyDescent="0.15">
      <c r="B55" s="107">
        <v>29</v>
      </c>
      <c r="C55" s="196">
        <v>51</v>
      </c>
      <c r="D55" s="117" t="s">
        <v>817</v>
      </c>
      <c r="E55" s="124" t="s">
        <v>818</v>
      </c>
      <c r="F55" s="129" t="s">
        <v>459</v>
      </c>
      <c r="G55" s="496">
        <v>16048</v>
      </c>
      <c r="H55" s="124">
        <v>29385</v>
      </c>
    </row>
    <row r="56" spans="2:8" x14ac:dyDescent="0.15">
      <c r="B56" s="107">
        <v>24</v>
      </c>
      <c r="C56" s="196">
        <v>52</v>
      </c>
      <c r="D56" s="117" t="s">
        <v>819</v>
      </c>
      <c r="E56" s="124" t="s">
        <v>820</v>
      </c>
      <c r="F56" s="129" t="s">
        <v>460</v>
      </c>
      <c r="G56" s="498">
        <v>15347</v>
      </c>
      <c r="H56" s="124">
        <v>30086</v>
      </c>
    </row>
    <row r="57" spans="2:8" x14ac:dyDescent="0.15">
      <c r="B57" s="107">
        <v>12</v>
      </c>
      <c r="C57" s="196">
        <v>53</v>
      </c>
      <c r="D57" s="116" t="s">
        <v>821</v>
      </c>
      <c r="E57" s="118" t="s">
        <v>822</v>
      </c>
      <c r="F57" s="129" t="s">
        <v>461</v>
      </c>
      <c r="G57" s="496">
        <v>15798</v>
      </c>
      <c r="H57" s="124">
        <v>29635</v>
      </c>
    </row>
    <row r="58" spans="2:8" x14ac:dyDescent="0.15">
      <c r="B58" s="107">
        <v>9</v>
      </c>
      <c r="C58" s="196">
        <v>54</v>
      </c>
      <c r="D58" s="116" t="s">
        <v>823</v>
      </c>
      <c r="E58" s="118" t="s">
        <v>824</v>
      </c>
      <c r="F58" s="129" t="s">
        <v>462</v>
      </c>
      <c r="G58" s="498">
        <v>15925</v>
      </c>
      <c r="H58" s="124">
        <v>29508</v>
      </c>
    </row>
    <row r="59" spans="2:8" x14ac:dyDescent="0.15">
      <c r="B59" s="107">
        <v>39</v>
      </c>
      <c r="C59" s="196">
        <v>55</v>
      </c>
      <c r="D59" s="117" t="s">
        <v>825</v>
      </c>
      <c r="E59" s="118" t="s">
        <v>826</v>
      </c>
      <c r="F59" s="129" t="s">
        <v>463</v>
      </c>
      <c r="G59" s="498">
        <v>17759</v>
      </c>
      <c r="H59" s="124">
        <v>27674</v>
      </c>
    </row>
    <row r="60" spans="2:8" x14ac:dyDescent="0.15">
      <c r="B60" s="107">
        <v>73</v>
      </c>
      <c r="C60" s="196">
        <v>56</v>
      </c>
      <c r="D60" s="328" t="s">
        <v>827</v>
      </c>
      <c r="E60" s="328" t="s">
        <v>828</v>
      </c>
      <c r="F60" s="328" t="s">
        <v>625</v>
      </c>
      <c r="G60" s="338">
        <v>19291</v>
      </c>
      <c r="H60" s="124">
        <v>26142</v>
      </c>
    </row>
    <row r="61" spans="2:8" x14ac:dyDescent="0.15">
      <c r="B61" s="107">
        <v>66</v>
      </c>
      <c r="C61" s="196">
        <v>57</v>
      </c>
      <c r="D61" s="328" t="s">
        <v>853</v>
      </c>
      <c r="E61" s="328" t="s">
        <v>854</v>
      </c>
      <c r="F61" s="328" t="s">
        <v>855</v>
      </c>
      <c r="G61" s="338">
        <v>20660</v>
      </c>
      <c r="H61" s="124"/>
    </row>
    <row r="62" spans="2:8" x14ac:dyDescent="0.15">
      <c r="B62" s="107"/>
      <c r="C62" s="196">
        <v>58</v>
      </c>
      <c r="D62" s="328" t="s">
        <v>857</v>
      </c>
      <c r="E62" s="328" t="s">
        <v>858</v>
      </c>
      <c r="F62" s="328" t="s">
        <v>859</v>
      </c>
      <c r="G62" s="338">
        <v>20660</v>
      </c>
      <c r="H62" s="403"/>
    </row>
    <row r="63" spans="2:8" x14ac:dyDescent="0.15">
      <c r="B63" s="107"/>
      <c r="C63" s="196"/>
      <c r="D63" s="328"/>
      <c r="E63" s="328"/>
      <c r="F63" s="328"/>
      <c r="G63" s="338"/>
      <c r="H63" s="403"/>
    </row>
    <row r="64" spans="2:8" x14ac:dyDescent="0.15">
      <c r="B64" s="107"/>
      <c r="C64" s="203"/>
      <c r="D64" s="404"/>
      <c r="E64" s="404"/>
      <c r="F64" s="404"/>
      <c r="G64" s="404"/>
      <c r="H64" s="404"/>
    </row>
    <row r="65" spans="2:8" x14ac:dyDescent="0.15">
      <c r="B65" s="107"/>
      <c r="C65" s="196"/>
      <c r="D65" s="328"/>
      <c r="E65" s="328"/>
      <c r="F65" s="328"/>
      <c r="G65" s="328"/>
      <c r="H65" s="328"/>
    </row>
    <row r="66" spans="2:8" x14ac:dyDescent="0.15">
      <c r="B66" s="107"/>
      <c r="C66" s="196"/>
      <c r="D66" s="328"/>
      <c r="E66" s="328"/>
      <c r="F66" s="328"/>
      <c r="G66" s="328"/>
      <c r="H66" s="328"/>
    </row>
    <row r="67" spans="2:8" x14ac:dyDescent="0.15">
      <c r="B67" s="107"/>
      <c r="C67" s="196"/>
      <c r="D67" s="328"/>
      <c r="E67" s="328"/>
      <c r="F67" s="328"/>
      <c r="G67" s="328"/>
      <c r="H67" s="328"/>
    </row>
  </sheetData>
  <sheetProtection password="EBCD" sheet="1" objects="1" scenarios="1" selectLockedCells="1" selectUnlockedCell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シート①入力画面</vt:lpstr>
      <vt:lpstr>シート②組合せ表</vt:lpstr>
      <vt:lpstr>シート③クラブ提出用組合せ表</vt:lpstr>
      <vt:lpstr>シート④スコア記入依頼用紙</vt:lpstr>
      <vt:lpstr>シート⑤成績表</vt:lpstr>
      <vt:lpstr>集計</vt:lpstr>
      <vt:lpstr>組合せﾃﾞｰﾀ</vt:lpstr>
      <vt:lpstr>interface</vt:lpstr>
      <vt:lpstr>名簿ﾘｽﾄ</vt:lpstr>
      <vt:lpstr>⑥循環参照可能化</vt:lpstr>
      <vt:lpstr>ｴｸｾﾙの構成</vt:lpstr>
      <vt:lpstr>○氏名ﾘｽﾄ</vt:lpstr>
      <vt:lpstr>○通常ﾗﾝﾀﾞﾑ</vt:lpstr>
      <vt:lpstr>○年齢順</vt:lpstr>
      <vt:lpstr>シート①入力画面!Print_Area</vt:lpstr>
      <vt:lpstr>シート④スコア記入依頼用紙!Print_Area</vt:lpstr>
      <vt:lpstr>五十音順</vt:lpstr>
      <vt:lpstr>全員ﾘｽﾄ</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uedas</dc:creator>
  <cp:lastModifiedBy>芳郎 塩崎</cp:lastModifiedBy>
  <cp:revision/>
  <cp:lastPrinted>2021-05-26T08:54:47Z</cp:lastPrinted>
  <dcterms:created xsi:type="dcterms:W3CDTF">2013-02-04T20:20:42Z</dcterms:created>
  <dcterms:modified xsi:type="dcterms:W3CDTF">2025-11-05T01:33:17Z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1041-8.1.0.3373</vt:lpwstr>
  </property>
</Properties>
</file>